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Jur_Desp-689821\Desktop\Daniela Viviana Yela\Año 2025\03. Informes\Mapas de Riesgo\Gestión\"/>
    </mc:Choice>
  </mc:AlternateContent>
  <xr:revisionPtr revIDLastSave="0" documentId="13_ncr:1_{2DA4BF11-BEF0-44A3-B448-76E202EC61D9}" xr6:coauthVersionLast="47" xr6:coauthVersionMax="47" xr10:uidLastSave="{00000000-0000-0000-0000-000000000000}"/>
  <bookViews>
    <workbookView xWindow="-120" yWindow="-120" windowWidth="29040" windowHeight="15840" xr2:uid="{00000000-000D-0000-FFFF-FFFF00000000}"/>
  </bookViews>
  <sheets>
    <sheet name="Mapa final" sheetId="2" r:id="rId1"/>
    <sheet name="Intructivo" sheetId="1" r:id="rId2"/>
    <sheet name="Matriz Calor Inherente" sheetId="3" r:id="rId3"/>
    <sheet name="Matriz Calor Residual" sheetId="4" r:id="rId4"/>
    <sheet name="Tabla probabilidad" sheetId="5" r:id="rId5"/>
    <sheet name="Tabla Impacto" sheetId="6" r:id="rId6"/>
    <sheet name="Tabla Valoración controles" sheetId="7" r:id="rId7"/>
    <sheet name="CONTROL DE CAMBIOS" sheetId="10" state="hidden" r:id="rId8"/>
    <sheet name="Opciones Tratamiento" sheetId="8" state="hidden" r:id="rId9"/>
    <sheet name="Hoja1" sheetId="9" state="hidden"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3" i="2" l="1"/>
  <c r="T42" i="2"/>
  <c r="T41" i="2"/>
  <c r="T38" i="2"/>
  <c r="T37" i="2"/>
  <c r="T36" i="2"/>
  <c r="T33" i="2"/>
  <c r="T32" i="2"/>
  <c r="T31" i="2"/>
  <c r="T28" i="2"/>
  <c r="T27" i="2"/>
  <c r="T26" i="2"/>
  <c r="T23" i="2"/>
  <c r="T22" i="2"/>
  <c r="T21" i="2"/>
  <c r="T18" i="2"/>
  <c r="T17" i="2"/>
  <c r="H41" i="2"/>
  <c r="H36" i="2"/>
  <c r="H31" i="2"/>
  <c r="H26" i="2"/>
  <c r="H21" i="2"/>
  <c r="T40" i="2" l="1"/>
  <c r="T39" i="2"/>
  <c r="T35" i="2"/>
  <c r="T34" i="2"/>
  <c r="T30" i="2"/>
  <c r="T29" i="2"/>
  <c r="T20" i="2"/>
  <c r="T19" i="2"/>
  <c r="T16" i="2"/>
  <c r="Q43" i="2"/>
  <c r="Q42" i="2"/>
  <c r="Q41" i="2"/>
  <c r="Q40" i="2"/>
  <c r="X40" i="2" s="1"/>
  <c r="Q39" i="2"/>
  <c r="X39" i="2" s="1"/>
  <c r="Q38" i="2"/>
  <c r="Q37" i="2"/>
  <c r="Q36" i="2"/>
  <c r="Q35" i="2"/>
  <c r="AB35" i="2" s="1"/>
  <c r="AA35" i="2" s="1"/>
  <c r="Q34" i="2"/>
  <c r="AB34" i="2" s="1"/>
  <c r="AA34" i="2" s="1"/>
  <c r="Q33" i="2"/>
  <c r="Q32" i="2"/>
  <c r="Q31" i="2"/>
  <c r="Q30" i="2"/>
  <c r="AB30" i="2" s="1"/>
  <c r="AA30" i="2" s="1"/>
  <c r="Q29" i="2"/>
  <c r="AB29" i="2" s="1"/>
  <c r="AA29" i="2" s="1"/>
  <c r="Q28" i="2"/>
  <c r="Q27" i="2"/>
  <c r="Q26" i="2"/>
  <c r="Q25" i="2"/>
  <c r="AB25" i="2" s="1"/>
  <c r="AA25" i="2" s="1"/>
  <c r="Q24" i="2"/>
  <c r="X24" i="2" s="1"/>
  <c r="Q23" i="2"/>
  <c r="Q22" i="2"/>
  <c r="Q21" i="2"/>
  <c r="Q20" i="2"/>
  <c r="AB20" i="2" s="1"/>
  <c r="AA20" i="2" s="1"/>
  <c r="Q19" i="2"/>
  <c r="AB19" i="2" s="1"/>
  <c r="AA19" i="2" s="1"/>
  <c r="Q18" i="2"/>
  <c r="Q17" i="2"/>
  <c r="Q16" i="2"/>
  <c r="I41" i="2"/>
  <c r="I36" i="2"/>
  <c r="I31" i="2"/>
  <c r="I26" i="2"/>
  <c r="I21" i="2"/>
  <c r="H16" i="2"/>
  <c r="I16" i="2" s="1"/>
  <c r="H45" i="2"/>
  <c r="H44" i="2"/>
  <c r="H40" i="2"/>
  <c r="H39" i="2"/>
  <c r="H35" i="2"/>
  <c r="H34" i="2"/>
  <c r="H30" i="2"/>
  <c r="H29" i="2"/>
  <c r="H25" i="2"/>
  <c r="I25" i="2" s="1"/>
  <c r="H24" i="2"/>
  <c r="H20" i="2"/>
  <c r="H19" i="2"/>
  <c r="T44" i="2"/>
  <c r="X44" i="2"/>
  <c r="Z44" i="2" s="1"/>
  <c r="AB44" i="2"/>
  <c r="AA44" i="2" s="1"/>
  <c r="T45" i="2"/>
  <c r="AB43" i="2" l="1"/>
  <c r="AA43" i="2" s="1"/>
  <c r="X43" i="2"/>
  <c r="AB42" i="2"/>
  <c r="AA42" i="2" s="1"/>
  <c r="AB41" i="2"/>
  <c r="AA41" i="2" s="1"/>
  <c r="X42" i="2"/>
  <c r="X41" i="2"/>
  <c r="Z41" i="2" s="1"/>
  <c r="AB38" i="2"/>
  <c r="AA38" i="2" s="1"/>
  <c r="X38" i="2"/>
  <c r="X37" i="2"/>
  <c r="X36" i="2"/>
  <c r="AB37" i="2"/>
  <c r="AA37" i="2" s="1"/>
  <c r="AB36" i="2"/>
  <c r="AA36" i="2" s="1"/>
  <c r="X33" i="2"/>
  <c r="Z33" i="2" s="1"/>
  <c r="AB33" i="2"/>
  <c r="AA33" i="2" s="1"/>
  <c r="AB31" i="2"/>
  <c r="AA31" i="2" s="1"/>
  <c r="X32" i="2"/>
  <c r="Z32" i="2" s="1"/>
  <c r="AB32" i="2"/>
  <c r="AA32" i="2" s="1"/>
  <c r="X31" i="2"/>
  <c r="Y31" i="2" s="1"/>
  <c r="X26" i="2"/>
  <c r="X21" i="2"/>
  <c r="Y21" i="2" s="1"/>
  <c r="X16" i="2"/>
  <c r="Y16" i="2" s="1"/>
  <c r="X25" i="2"/>
  <c r="Z25" i="2" s="1"/>
  <c r="Y39" i="2"/>
  <c r="Z39" i="2"/>
  <c r="Z24" i="2"/>
  <c r="Y24" i="2"/>
  <c r="Y32" i="2"/>
  <c r="Y40" i="2"/>
  <c r="Z40" i="2"/>
  <c r="AB39" i="2"/>
  <c r="AA39" i="2" s="1"/>
  <c r="X34" i="2"/>
  <c r="Y41" i="2"/>
  <c r="AB24" i="2"/>
  <c r="AA24" i="2" s="1"/>
  <c r="AB40" i="2"/>
  <c r="AA40" i="2" s="1"/>
  <c r="X19" i="2"/>
  <c r="X35" i="2"/>
  <c r="X20" i="2"/>
  <c r="X29" i="2"/>
  <c r="X30" i="2"/>
  <c r="I45" i="2"/>
  <c r="Y44" i="2"/>
  <c r="AC44" i="2" s="1"/>
  <c r="I44" i="2"/>
  <c r="I40" i="2"/>
  <c r="I39" i="2"/>
  <c r="I35" i="2"/>
  <c r="I34" i="2"/>
  <c r="I30" i="2"/>
  <c r="I29" i="2"/>
  <c r="I24" i="2"/>
  <c r="I20" i="2"/>
  <c r="I19" i="2"/>
  <c r="Q45" i="2"/>
  <c r="AC41" i="2" l="1"/>
  <c r="Y33" i="2"/>
  <c r="AC33" i="2" s="1"/>
  <c r="Z31" i="2"/>
  <c r="Y25" i="2"/>
  <c r="AC25" i="2" s="1"/>
  <c r="AC24" i="2"/>
  <c r="Z21" i="2"/>
  <c r="Z30" i="2"/>
  <c r="Y30" i="2"/>
  <c r="AC30" i="2" s="1"/>
  <c r="Z20" i="2"/>
  <c r="Y20" i="2"/>
  <c r="AC20" i="2" s="1"/>
  <c r="Z38" i="2"/>
  <c r="Y38" i="2"/>
  <c r="AC38" i="2" s="1"/>
  <c r="AC39" i="2"/>
  <c r="Z43" i="2"/>
  <c r="Y43" i="2"/>
  <c r="AC43" i="2" s="1"/>
  <c r="Z37" i="2"/>
  <c r="Y37" i="2"/>
  <c r="AC37" i="2" s="1"/>
  <c r="Z26" i="2"/>
  <c r="X27" i="2" s="1"/>
  <c r="Y27" i="2" s="1"/>
  <c r="Y26" i="2"/>
  <c r="AC40" i="2"/>
  <c r="AC31" i="2"/>
  <c r="Z35" i="2"/>
  <c r="Y35" i="2"/>
  <c r="AC35" i="2" s="1"/>
  <c r="Z19" i="2"/>
  <c r="Y19" i="2"/>
  <c r="AC19" i="2" s="1"/>
  <c r="Z42" i="2"/>
  <c r="Y42" i="2"/>
  <c r="AC42" i="2" s="1"/>
  <c r="Z36" i="2"/>
  <c r="Y36" i="2"/>
  <c r="AC36" i="2" s="1"/>
  <c r="Z29" i="2"/>
  <c r="Y29" i="2"/>
  <c r="AC29" i="2" s="1"/>
  <c r="Z34" i="2"/>
  <c r="Y34" i="2"/>
  <c r="AC34" i="2" s="1"/>
  <c r="AC32" i="2"/>
  <c r="Z16" i="2"/>
  <c r="X17" i="2" s="1"/>
  <c r="Z17" i="2" s="1"/>
  <c r="X18" i="2" s="1"/>
  <c r="Z18" i="2" s="1"/>
  <c r="X45" i="2"/>
  <c r="AB45" i="2"/>
  <c r="AA45" i="2" s="1"/>
  <c r="Z27" i="2" l="1"/>
  <c r="X28" i="2" s="1"/>
  <c r="Y18" i="2"/>
  <c r="X22" i="2"/>
  <c r="Z22" i="2" s="1"/>
  <c r="X23" i="2" s="1"/>
  <c r="Y17" i="2"/>
  <c r="Z45" i="2"/>
  <c r="Y45" i="2"/>
  <c r="AC45" i="2" s="1"/>
  <c r="Y28" i="2" l="1"/>
  <c r="Z28" i="2"/>
  <c r="Z23" i="2"/>
  <c r="Y23" i="2"/>
  <c r="Y22" i="2"/>
  <c r="AD31" i="2"/>
  <c r="AD41" i="2"/>
  <c r="AD36" i="2"/>
  <c r="F221" i="6"/>
  <c r="F220" i="6"/>
  <c r="F219" i="6"/>
  <c r="F218" i="6"/>
  <c r="F217" i="6"/>
  <c r="F216" i="6"/>
  <c r="F215" i="6"/>
  <c r="F214" i="6"/>
  <c r="F213" i="6"/>
  <c r="F212" i="6"/>
  <c r="F211" i="6"/>
  <c r="F210" i="6"/>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H210" i="6"/>
  <c r="B223" i="6"/>
  <c r="B221" i="6"/>
  <c r="B222" i="6"/>
  <c r="K45" i="2" l="1"/>
  <c r="L45" i="2" s="1"/>
  <c r="M45" i="2" s="1"/>
  <c r="K40" i="2"/>
  <c r="L40" i="2" s="1"/>
  <c r="M40" i="2" s="1"/>
  <c r="K44" i="2"/>
  <c r="L44" i="2" s="1"/>
  <c r="K35" i="2"/>
  <c r="L35" i="2" s="1"/>
  <c r="M35" i="2" s="1"/>
  <c r="K39" i="2"/>
  <c r="L39" i="2" s="1"/>
  <c r="K30" i="2"/>
  <c r="L30" i="2" s="1"/>
  <c r="M30" i="2" s="1"/>
  <c r="K34" i="2"/>
  <c r="L34" i="2" s="1"/>
  <c r="K25" i="2"/>
  <c r="L25" i="2" s="1"/>
  <c r="N25" i="2" s="1"/>
  <c r="K29" i="2"/>
  <c r="L29" i="2" s="1"/>
  <c r="K20" i="2"/>
  <c r="L20" i="2" s="1"/>
  <c r="M20" i="2" s="1"/>
  <c r="K24" i="2"/>
  <c r="L24" i="2" s="1"/>
  <c r="K19" i="2"/>
  <c r="L19" i="2" s="1"/>
  <c r="M19" i="2" s="1"/>
  <c r="L34" i="3"/>
  <c r="J12" i="3"/>
  <c r="N45" i="2" l="1"/>
  <c r="N40" i="2"/>
  <c r="M44" i="2"/>
  <c r="N44" i="2"/>
  <c r="N35" i="2"/>
  <c r="M39" i="2"/>
  <c r="N39" i="2"/>
  <c r="N30" i="2"/>
  <c r="M34" i="2"/>
  <c r="N34" i="2"/>
  <c r="M25" i="2"/>
  <c r="M29" i="2"/>
  <c r="N29" i="2"/>
  <c r="N20" i="2"/>
  <c r="M24" i="2"/>
  <c r="N24" i="2"/>
  <c r="N19" i="2"/>
  <c r="AF54" i="4"/>
  <c r="AI54" i="4"/>
  <c r="L32" i="4"/>
  <c r="L54" i="4"/>
  <c r="AB52" i="4"/>
  <c r="AB54" i="4"/>
  <c r="Y48" i="4"/>
  <c r="AA48" i="4"/>
  <c r="U30" i="4"/>
  <c r="Y52" i="4"/>
  <c r="AA52" i="4"/>
  <c r="U54" i="4"/>
  <c r="M24" i="4"/>
  <c r="U46" i="4"/>
  <c r="AH20" i="3"/>
  <c r="AF10" i="3"/>
  <c r="V12" i="3"/>
  <c r="V28" i="3"/>
  <c r="P36" i="3"/>
  <c r="Z34" i="3"/>
  <c r="AH26" i="3"/>
  <c r="T10" i="3"/>
  <c r="V20" i="3"/>
  <c r="AB26" i="3"/>
  <c r="AL18" i="3"/>
  <c r="AH28" i="3"/>
  <c r="P26" i="3"/>
  <c r="AB36" i="3"/>
  <c r="AH36" i="3"/>
  <c r="J20" i="3"/>
  <c r="J18" i="3"/>
  <c r="N42" i="3"/>
  <c r="AH44" i="3"/>
  <c r="AH42" i="3"/>
  <c r="P34" i="3"/>
  <c r="J34" i="3"/>
  <c r="AB42" i="3"/>
  <c r="J36" i="3"/>
  <c r="L26" i="3"/>
  <c r="L18" i="3"/>
  <c r="AJ34" i="3"/>
  <c r="V36" i="3"/>
  <c r="V18" i="3"/>
  <c r="AH10" i="3"/>
  <c r="AB18" i="3"/>
  <c r="AL10" i="3"/>
  <c r="Z10" i="3"/>
  <c r="AL42" i="3"/>
  <c r="J44" i="3"/>
  <c r="AB28" i="3"/>
  <c r="V44" i="3"/>
  <c r="AL26" i="3"/>
  <c r="N34" i="3"/>
  <c r="AF42" i="3"/>
  <c r="T34" i="3"/>
  <c r="Z42" i="3"/>
  <c r="L42" i="3"/>
  <c r="R10" i="3"/>
  <c r="AJ42" i="3"/>
  <c r="X42" i="3"/>
  <c r="R18" i="3"/>
  <c r="X26" i="3"/>
  <c r="AJ26" i="3"/>
  <c r="X18" i="3"/>
  <c r="X10" i="3"/>
  <c r="AB20" i="3"/>
  <c r="AB12" i="3"/>
  <c r="AB44" i="3"/>
  <c r="P44" i="3"/>
  <c r="J28" i="3"/>
  <c r="AH12" i="3"/>
  <c r="N10" i="3"/>
  <c r="P10" i="3"/>
  <c r="AH34" i="3"/>
  <c r="AH18" i="3"/>
  <c r="P42" i="3"/>
  <c r="AB34" i="3"/>
  <c r="V42" i="3"/>
  <c r="N26" i="3"/>
  <c r="V10" i="3"/>
  <c r="AF34" i="3"/>
  <c r="AF18" i="3"/>
  <c r="Z18" i="3"/>
  <c r="T18" i="3"/>
  <c r="T42" i="3"/>
  <c r="V34" i="3"/>
  <c r="P18" i="3"/>
  <c r="J10" i="3"/>
  <c r="J26" i="3"/>
  <c r="AB10" i="3"/>
  <c r="J42" i="3"/>
  <c r="N18" i="3"/>
  <c r="AF26" i="3"/>
  <c r="Z26" i="3"/>
  <c r="T26" i="3"/>
  <c r="AL34" i="3"/>
  <c r="AF50" i="4"/>
  <c r="T50" i="4"/>
  <c r="Z50" i="4"/>
  <c r="AL40" i="4"/>
  <c r="Z40" i="4"/>
  <c r="N40" i="4"/>
  <c r="AF40" i="4"/>
  <c r="N50" i="4"/>
  <c r="AF30" i="4"/>
  <c r="AL50" i="4"/>
  <c r="Z30" i="4"/>
  <c r="T30" i="4"/>
  <c r="N30" i="4"/>
  <c r="AL20" i="4"/>
  <c r="Z20" i="4"/>
  <c r="N20" i="4"/>
  <c r="AL10" i="4"/>
  <c r="T40" i="4"/>
  <c r="AF20" i="4"/>
  <c r="T20" i="4"/>
  <c r="AL30" i="4"/>
  <c r="Z10" i="4"/>
  <c r="N10" i="4"/>
  <c r="AF10" i="4"/>
  <c r="T10" i="4"/>
  <c r="AF52" i="4"/>
  <c r="T52" i="4"/>
  <c r="AL52" i="4"/>
  <c r="N52" i="4"/>
  <c r="AL42" i="4"/>
  <c r="Z42" i="4"/>
  <c r="N42" i="4"/>
  <c r="Z52" i="4"/>
  <c r="T42" i="4"/>
  <c r="AF42" i="4"/>
  <c r="AF32" i="4"/>
  <c r="T32" i="4"/>
  <c r="AL32" i="4"/>
  <c r="AL22" i="4"/>
  <c r="Z22" i="4"/>
  <c r="N22" i="4"/>
  <c r="AL12" i="4"/>
  <c r="Z12" i="4"/>
  <c r="N12" i="4"/>
  <c r="N32" i="4"/>
  <c r="AF22" i="4"/>
  <c r="T22" i="4"/>
  <c r="AF12" i="4"/>
  <c r="T12" i="4"/>
  <c r="Z32" i="4"/>
  <c r="AE50" i="4"/>
  <c r="S50" i="4"/>
  <c r="AK50" i="4"/>
  <c r="M50" i="4"/>
  <c r="AE40" i="4"/>
  <c r="S40" i="4"/>
  <c r="Y50" i="4"/>
  <c r="AK40" i="4"/>
  <c r="Y40" i="4"/>
  <c r="M40" i="4"/>
  <c r="AK30" i="4"/>
  <c r="AE30" i="4"/>
  <c r="S30" i="4"/>
  <c r="Y30" i="4"/>
  <c r="M30" i="4"/>
  <c r="AK20" i="4"/>
  <c r="Y20" i="4"/>
  <c r="M20" i="4"/>
  <c r="AK10" i="4"/>
  <c r="AE10" i="4"/>
  <c r="S10" i="4"/>
  <c r="S20" i="4"/>
  <c r="AE20" i="4"/>
  <c r="Y10" i="4"/>
  <c r="M10" i="4"/>
  <c r="Z54" i="4"/>
  <c r="N44" i="4"/>
  <c r="T44" i="4"/>
  <c r="T34" i="4"/>
  <c r="AF44" i="4"/>
  <c r="Z34" i="4"/>
  <c r="Z24" i="4"/>
  <c r="AL14" i="4"/>
  <c r="N14" i="4"/>
  <c r="AF24" i="4"/>
  <c r="AF14" i="4"/>
  <c r="N34" i="4"/>
  <c r="AF48" i="4"/>
  <c r="T48" i="4"/>
  <c r="AL48" i="4"/>
  <c r="N48" i="4"/>
  <c r="AF38" i="4"/>
  <c r="T38" i="4"/>
  <c r="AL28" i="4"/>
  <c r="Z28" i="4"/>
  <c r="N28" i="4"/>
  <c r="AL18" i="4"/>
  <c r="Z18" i="4"/>
  <c r="N18" i="4"/>
  <c r="N38" i="4"/>
  <c r="Z48" i="4"/>
  <c r="Z38" i="4"/>
  <c r="AF28" i="4"/>
  <c r="T28" i="4"/>
  <c r="AF18" i="4"/>
  <c r="T18" i="4"/>
  <c r="AL38" i="4"/>
  <c r="AL8" i="4"/>
  <c r="Z8" i="4"/>
  <c r="N8" i="4"/>
  <c r="AF8" i="4"/>
  <c r="T8" i="4"/>
  <c r="AI52" i="4"/>
  <c r="W52" i="4"/>
  <c r="K52" i="4"/>
  <c r="Q52" i="4"/>
  <c r="AI42" i="4"/>
  <c r="W42" i="4"/>
  <c r="K42" i="4"/>
  <c r="AC52" i="4"/>
  <c r="AC42" i="4"/>
  <c r="Q42" i="4"/>
  <c r="AC32" i="4"/>
  <c r="Q32" i="4"/>
  <c r="AI32" i="4"/>
  <c r="W32" i="4"/>
  <c r="K32" i="4"/>
  <c r="AC22" i="4"/>
  <c r="Q22" i="4"/>
  <c r="AC12" i="4"/>
  <c r="Q12" i="4"/>
  <c r="K22" i="4"/>
  <c r="W12" i="4"/>
  <c r="W22" i="4"/>
  <c r="AI12" i="4"/>
  <c r="AI22" i="4"/>
  <c r="K12" i="4"/>
  <c r="W54" i="4"/>
  <c r="K54" i="4"/>
  <c r="K44" i="4"/>
  <c r="Q54" i="4"/>
  <c r="Q34" i="4"/>
  <c r="W34" i="4"/>
  <c r="AC14" i="4"/>
  <c r="Q14" i="4"/>
  <c r="W24" i="4"/>
  <c r="AI14" i="4"/>
  <c r="AD26" i="3"/>
  <c r="AD10" i="3"/>
  <c r="AD18" i="3"/>
  <c r="AJ10" i="3"/>
  <c r="R34" i="3"/>
  <c r="AD34" i="3"/>
  <c r="AJ18" i="3"/>
  <c r="L10" i="3"/>
  <c r="R26" i="3"/>
  <c r="R42" i="3"/>
  <c r="AD42" i="3"/>
  <c r="X34" i="3"/>
  <c r="V26" i="3"/>
  <c r="P28" i="3"/>
  <c r="P12" i="3"/>
  <c r="P20" i="3"/>
  <c r="P49" i="4" l="1"/>
  <c r="AB51" i="4"/>
  <c r="T14" i="4"/>
  <c r="AL34" i="4"/>
  <c r="N24" i="4"/>
  <c r="AL54" i="4"/>
  <c r="AF34" i="4"/>
  <c r="Z44" i="4"/>
  <c r="S52" i="4"/>
  <c r="T24" i="4"/>
  <c r="Z14" i="4"/>
  <c r="AL24" i="4"/>
  <c r="N54" i="4"/>
  <c r="AL44" i="4"/>
  <c r="T54" i="4"/>
  <c r="W14" i="4"/>
  <c r="AC24" i="4"/>
  <c r="AC34" i="4"/>
  <c r="W44" i="4"/>
  <c r="U32" i="4"/>
  <c r="K14" i="4"/>
  <c r="K34" i="4"/>
  <c r="Q44" i="4"/>
  <c r="AC54" i="4"/>
  <c r="AB42" i="4"/>
  <c r="AG34" i="4"/>
  <c r="AE28" i="4"/>
  <c r="P12" i="4"/>
  <c r="AB32" i="4"/>
  <c r="AM8" i="4"/>
  <c r="AG18" i="4"/>
  <c r="AH32" i="4"/>
  <c r="V52" i="4"/>
  <c r="AH12" i="4"/>
  <c r="O34" i="4"/>
  <c r="AM48" i="4"/>
  <c r="AB12" i="4"/>
  <c r="J22" i="4"/>
  <c r="P42" i="4"/>
  <c r="U8" i="4"/>
  <c r="AM38" i="4"/>
  <c r="AH52" i="4"/>
  <c r="V32" i="4"/>
  <c r="AH42" i="4"/>
  <c r="AI24" i="4"/>
  <c r="K24" i="4"/>
  <c r="Q24" i="4"/>
  <c r="AI34" i="4"/>
  <c r="AC44" i="4"/>
  <c r="AI44" i="4"/>
  <c r="AA18" i="4"/>
  <c r="U38" i="4"/>
  <c r="S54" i="4"/>
  <c r="M22" i="4"/>
  <c r="R24" i="4"/>
  <c r="AM52" i="4"/>
  <c r="O22" i="4"/>
  <c r="AM20" i="4"/>
  <c r="O18" i="4"/>
  <c r="U28" i="4"/>
  <c r="U48" i="4"/>
  <c r="P22" i="4"/>
  <c r="J12" i="4"/>
  <c r="V22" i="4"/>
  <c r="J52" i="4"/>
  <c r="J42" i="4"/>
  <c r="P52" i="4"/>
  <c r="O54" i="4"/>
  <c r="J32" i="4"/>
  <c r="AB22" i="4"/>
  <c r="V12" i="4"/>
  <c r="AH22" i="4"/>
  <c r="P32" i="4"/>
  <c r="V42" i="4"/>
  <c r="U14" i="4"/>
  <c r="P14" i="4"/>
  <c r="AA28" i="4"/>
  <c r="AA8" i="4"/>
  <c r="AG28" i="4"/>
  <c r="O48" i="4"/>
  <c r="AE34" i="4"/>
  <c r="AE32" i="4"/>
  <c r="AJ34" i="4"/>
  <c r="AD12" i="4"/>
  <c r="M42" i="4"/>
  <c r="X14" i="4"/>
  <c r="AD44" i="4"/>
  <c r="AA40" i="4"/>
  <c r="S12" i="4"/>
  <c r="AK52" i="4"/>
  <c r="AJ24" i="4"/>
  <c r="X54" i="4"/>
  <c r="AM18" i="4"/>
  <c r="O28" i="4"/>
  <c r="AM28" i="4"/>
  <c r="AA38" i="4"/>
  <c r="AG48" i="4"/>
  <c r="AE22" i="4"/>
  <c r="Y22" i="4"/>
  <c r="Y42" i="4"/>
  <c r="AE52" i="4"/>
  <c r="AE12" i="4"/>
  <c r="Y12" i="4"/>
  <c r="AK22" i="4"/>
  <c r="Y32" i="4"/>
  <c r="AK42" i="4"/>
  <c r="AE42" i="4"/>
  <c r="AH24" i="4"/>
  <c r="AD34" i="4"/>
  <c r="L24" i="4"/>
  <c r="R14" i="4"/>
  <c r="L34" i="4"/>
  <c r="AD54" i="4"/>
  <c r="AJ44" i="4"/>
  <c r="AA50" i="4"/>
  <c r="M12" i="4"/>
  <c r="M32" i="4"/>
  <c r="S42" i="4"/>
  <c r="L44" i="4"/>
  <c r="AJ14" i="4"/>
  <c r="R34" i="4"/>
  <c r="AD24" i="4"/>
  <c r="X44" i="4"/>
  <c r="R54" i="4"/>
  <c r="AJ54" i="4"/>
  <c r="AM14" i="4"/>
  <c r="AM44" i="4"/>
  <c r="S22" i="4"/>
  <c r="AK12" i="4"/>
  <c r="S32" i="4"/>
  <c r="AK32" i="4"/>
  <c r="M52" i="4"/>
  <c r="AB34" i="4"/>
  <c r="L14" i="4"/>
  <c r="X24" i="4"/>
  <c r="AD14" i="4"/>
  <c r="X34" i="4"/>
  <c r="R44" i="4"/>
  <c r="AG8" i="4"/>
  <c r="O8" i="4"/>
  <c r="U18" i="4"/>
  <c r="O38" i="4"/>
  <c r="AG38" i="4"/>
  <c r="AK18" i="4"/>
  <c r="AA22" i="4"/>
  <c r="AG42" i="4"/>
  <c r="U22" i="4"/>
  <c r="U52" i="4"/>
  <c r="S38" i="4"/>
  <c r="AA12" i="4"/>
  <c r="AG22" i="4"/>
  <c r="AG52" i="4"/>
  <c r="AK38" i="4"/>
  <c r="AC47" i="4"/>
  <c r="AB50" i="4"/>
  <c r="J50" i="4"/>
  <c r="AH30" i="4"/>
  <c r="AK54" i="4"/>
  <c r="Y54" i="4"/>
  <c r="Y34" i="4"/>
  <c r="S34" i="4"/>
  <c r="AK14" i="4"/>
  <c r="S14" i="4"/>
  <c r="M54" i="4"/>
  <c r="Y44" i="4"/>
  <c r="M34" i="4"/>
  <c r="AK24" i="4"/>
  <c r="Y14" i="4"/>
  <c r="S24" i="4"/>
  <c r="AE54" i="4"/>
  <c r="AE44" i="4"/>
  <c r="M44" i="4"/>
  <c r="AK44" i="4"/>
  <c r="Y24" i="4"/>
  <c r="M14" i="4"/>
  <c r="AE14" i="4"/>
  <c r="O50" i="4"/>
  <c r="O40" i="4"/>
  <c r="AM30" i="4"/>
  <c r="AG20" i="4"/>
  <c r="AM10" i="4"/>
  <c r="O20" i="4"/>
  <c r="U50" i="4"/>
  <c r="AG50" i="4"/>
  <c r="AA30" i="4"/>
  <c r="U20" i="4"/>
  <c r="AA10" i="4"/>
  <c r="U10" i="4"/>
  <c r="AM50" i="4"/>
  <c r="AM40" i="4"/>
  <c r="AG40" i="4"/>
  <c r="O30" i="4"/>
  <c r="AG10" i="4"/>
  <c r="O10" i="4"/>
  <c r="AA20" i="4"/>
  <c r="AD52" i="4"/>
  <c r="R52" i="4"/>
  <c r="L42" i="4"/>
  <c r="R12" i="4"/>
  <c r="AJ22" i="4"/>
  <c r="X12" i="4"/>
  <c r="AJ52" i="4"/>
  <c r="AD42" i="4"/>
  <c r="AJ32" i="4"/>
  <c r="AD22" i="4"/>
  <c r="R32" i="4"/>
  <c r="X22" i="4"/>
  <c r="L12" i="4"/>
  <c r="X52" i="4"/>
  <c r="R42" i="4"/>
  <c r="X32" i="4"/>
  <c r="R22" i="4"/>
  <c r="X42" i="4"/>
  <c r="L22" i="4"/>
  <c r="AJ12" i="4"/>
  <c r="AH44" i="4"/>
  <c r="AD32" i="4"/>
  <c r="L52" i="4"/>
  <c r="V14" i="4"/>
  <c r="U40" i="4"/>
  <c r="AE24" i="4"/>
  <c r="S44" i="4"/>
  <c r="P20" i="4"/>
  <c r="P54" i="4"/>
  <c r="V44" i="4"/>
  <c r="P34" i="4"/>
  <c r="V24" i="4"/>
  <c r="J14" i="4"/>
  <c r="AB24" i="4"/>
  <c r="AH54" i="4"/>
  <c r="J44" i="4"/>
  <c r="P44" i="4"/>
  <c r="J24" i="4"/>
  <c r="V34" i="4"/>
  <c r="P24" i="4"/>
  <c r="J54" i="4"/>
  <c r="V54" i="4"/>
  <c r="J34" i="4"/>
  <c r="AH14" i="4"/>
  <c r="AB44" i="4"/>
  <c r="AB14" i="4"/>
  <c r="AJ42" i="4"/>
  <c r="AH34" i="4"/>
  <c r="AG30" i="4"/>
  <c r="AK34" i="4"/>
  <c r="AM12" i="4"/>
  <c r="AM32" i="4"/>
  <c r="AM42" i="4"/>
  <c r="AE8" i="4"/>
  <c r="S48" i="4"/>
  <c r="M8" i="4"/>
  <c r="AE18" i="4"/>
  <c r="S18" i="4"/>
  <c r="M28" i="4"/>
  <c r="AE38" i="4"/>
  <c r="M48" i="4"/>
  <c r="AE48" i="4"/>
  <c r="Y8" i="4"/>
  <c r="S28" i="4"/>
  <c r="M18" i="4"/>
  <c r="Y28" i="4"/>
  <c r="M38" i="4"/>
  <c r="AK48" i="4"/>
  <c r="AK8" i="4"/>
  <c r="S8" i="4"/>
  <c r="Y18" i="4"/>
  <c r="AK28" i="4"/>
  <c r="Y38" i="4"/>
  <c r="AG14" i="4"/>
  <c r="AA34" i="4"/>
  <c r="O44" i="4"/>
  <c r="AA54" i="4"/>
  <c r="O14" i="4"/>
  <c r="AA14" i="4"/>
  <c r="U24" i="4"/>
  <c r="AM34" i="4"/>
  <c r="AG44" i="4"/>
  <c r="AA44" i="4"/>
  <c r="AM54" i="4"/>
  <c r="O12" i="4"/>
  <c r="U12" i="4"/>
  <c r="O32" i="4"/>
  <c r="AG32" i="4"/>
  <c r="O42" i="4"/>
  <c r="O52" i="4"/>
  <c r="AA24" i="4"/>
  <c r="U44" i="4"/>
  <c r="AM24" i="4"/>
  <c r="O24" i="4"/>
  <c r="AG24" i="4"/>
  <c r="U34" i="4"/>
  <c r="AG54" i="4"/>
  <c r="AM22" i="4"/>
  <c r="AG12" i="4"/>
  <c r="AA32" i="4"/>
  <c r="U42" i="4"/>
  <c r="AA42" i="4"/>
  <c r="V30" i="4"/>
  <c r="AB40" i="4"/>
  <c r="P50" i="4"/>
  <c r="AB10" i="4"/>
  <c r="J20" i="4"/>
  <c r="V50" i="4"/>
  <c r="J10" i="4"/>
  <c r="AH20" i="4"/>
  <c r="V40" i="4"/>
  <c r="P30" i="4"/>
  <c r="AB20" i="4"/>
  <c r="V20" i="4"/>
  <c r="AB30" i="4"/>
  <c r="J40" i="4"/>
  <c r="AH50" i="4"/>
  <c r="P10" i="4"/>
  <c r="V10" i="4"/>
  <c r="AH10" i="4"/>
  <c r="J30" i="4"/>
  <c r="P40" i="4"/>
  <c r="AH40" i="4"/>
  <c r="U36" i="4"/>
  <c r="AM16" i="4"/>
  <c r="O6" i="4"/>
  <c r="AA46" i="4"/>
  <c r="AG16" i="4"/>
  <c r="AM46" i="4"/>
  <c r="AG6" i="4"/>
  <c r="AG26" i="4"/>
  <c r="AA6" i="4"/>
  <c r="AG36" i="4"/>
  <c r="AA26" i="4"/>
  <c r="O16" i="4"/>
  <c r="O36" i="4"/>
  <c r="AG46" i="4"/>
  <c r="AM26" i="4"/>
  <c r="O26" i="4"/>
  <c r="U16" i="4"/>
  <c r="AA36" i="4"/>
  <c r="O46" i="4"/>
  <c r="U6" i="4"/>
  <c r="AA16" i="4"/>
  <c r="AM6" i="4"/>
  <c r="U26" i="4"/>
  <c r="AM36" i="4"/>
  <c r="AK53" i="4"/>
  <c r="Y53" i="4"/>
  <c r="M53" i="4"/>
  <c r="S53" i="4"/>
  <c r="AK43" i="4"/>
  <c r="Y43" i="4"/>
  <c r="M43" i="4"/>
  <c r="AE53" i="4"/>
  <c r="AE43" i="4"/>
  <c r="S43" i="4"/>
  <c r="AE33" i="4"/>
  <c r="S33" i="4"/>
  <c r="AK33" i="4"/>
  <c r="Y33" i="4"/>
  <c r="M33" i="4"/>
  <c r="AE23" i="4"/>
  <c r="S23" i="4"/>
  <c r="AE13" i="4"/>
  <c r="S13" i="4"/>
  <c r="M23" i="4"/>
  <c r="Y13" i="4"/>
  <c r="Y23" i="4"/>
  <c r="AK13" i="4"/>
  <c r="AK23" i="4"/>
  <c r="M13" i="4"/>
  <c r="AL51" i="4"/>
  <c r="Z51" i="4"/>
  <c r="N51" i="4"/>
  <c r="T51" i="4"/>
  <c r="AF41" i="4"/>
  <c r="T41" i="4"/>
  <c r="N41" i="4"/>
  <c r="AL31" i="4"/>
  <c r="Z31" i="4"/>
  <c r="N31" i="4"/>
  <c r="Z41" i="4"/>
  <c r="T31" i="4"/>
  <c r="AF21" i="4"/>
  <c r="T21" i="4"/>
  <c r="AF11" i="4"/>
  <c r="T11" i="4"/>
  <c r="AF31" i="4"/>
  <c r="AL21" i="4"/>
  <c r="Z21" i="4"/>
  <c r="N21" i="4"/>
  <c r="AL11" i="4"/>
  <c r="AF51" i="4"/>
  <c r="N11" i="4"/>
  <c r="AL41" i="4"/>
  <c r="Z11" i="4"/>
  <c r="AH53" i="4"/>
  <c r="V53" i="4"/>
  <c r="J53" i="4"/>
  <c r="P53" i="4"/>
  <c r="AB43" i="4"/>
  <c r="P43" i="4"/>
  <c r="AB53" i="4"/>
  <c r="V43" i="4"/>
  <c r="AH43" i="4"/>
  <c r="AH33" i="4"/>
  <c r="V33" i="4"/>
  <c r="J33" i="4"/>
  <c r="AB23" i="4"/>
  <c r="P23" i="4"/>
  <c r="AB13" i="4"/>
  <c r="P13" i="4"/>
  <c r="J43" i="4"/>
  <c r="P33" i="4"/>
  <c r="AH23" i="4"/>
  <c r="V23" i="4"/>
  <c r="J23" i="4"/>
  <c r="AH13" i="4"/>
  <c r="V13" i="4"/>
  <c r="J13" i="4"/>
  <c r="AB33" i="4"/>
  <c r="AH55" i="4"/>
  <c r="V55" i="4"/>
  <c r="J55" i="4"/>
  <c r="AH45" i="4"/>
  <c r="V45" i="4"/>
  <c r="J45" i="4"/>
  <c r="AB55" i="4"/>
  <c r="P45" i="4"/>
  <c r="AH35" i="4"/>
  <c r="V35" i="4"/>
  <c r="J35" i="4"/>
  <c r="P55" i="4"/>
  <c r="AB45" i="4"/>
  <c r="AB35" i="4"/>
  <c r="AB25" i="4"/>
  <c r="P25" i="4"/>
  <c r="AB15" i="4"/>
  <c r="P15" i="4"/>
  <c r="AH25" i="4"/>
  <c r="V25" i="4"/>
  <c r="J25" i="4"/>
  <c r="AH15" i="4"/>
  <c r="V15" i="4"/>
  <c r="J15" i="4"/>
  <c r="P35" i="4"/>
  <c r="Q47" i="4"/>
  <c r="W37" i="4"/>
  <c r="AI7" i="4"/>
  <c r="V51" i="4"/>
  <c r="AD55" i="4"/>
  <c r="R55" i="4"/>
  <c r="AD45" i="4"/>
  <c r="R45" i="4"/>
  <c r="AJ55" i="4"/>
  <c r="L55" i="4"/>
  <c r="X45" i="4"/>
  <c r="L45" i="4"/>
  <c r="X55" i="4"/>
  <c r="AJ45" i="4"/>
  <c r="AD35" i="4"/>
  <c r="R35" i="4"/>
  <c r="L35" i="4"/>
  <c r="AJ25" i="4"/>
  <c r="X25" i="4"/>
  <c r="L25" i="4"/>
  <c r="AJ15" i="4"/>
  <c r="X15" i="4"/>
  <c r="L15" i="4"/>
  <c r="X35" i="4"/>
  <c r="AJ35" i="4"/>
  <c r="AD25" i="4"/>
  <c r="R25" i="4"/>
  <c r="AD15" i="4"/>
  <c r="R15" i="4"/>
  <c r="AG53" i="4"/>
  <c r="U53" i="4"/>
  <c r="AA53" i="4"/>
  <c r="AG43" i="4"/>
  <c r="U43" i="4"/>
  <c r="AM53" i="4"/>
  <c r="O53" i="4"/>
  <c r="AM43" i="4"/>
  <c r="AA43" i="4"/>
  <c r="O43" i="4"/>
  <c r="AM33" i="4"/>
  <c r="AA33" i="4"/>
  <c r="O33" i="4"/>
  <c r="AG33" i="4"/>
  <c r="U33" i="4"/>
  <c r="AM23" i="4"/>
  <c r="AA23" i="4"/>
  <c r="O23" i="4"/>
  <c r="AM13" i="4"/>
  <c r="AA13" i="4"/>
  <c r="O13" i="4"/>
  <c r="U13" i="4"/>
  <c r="U23" i="4"/>
  <c r="AG13" i="4"/>
  <c r="AG23" i="4"/>
  <c r="AD53" i="4"/>
  <c r="R53" i="4"/>
  <c r="X53" i="4"/>
  <c r="AJ43" i="4"/>
  <c r="X43" i="4"/>
  <c r="L43" i="4"/>
  <c r="R43" i="4"/>
  <c r="AD33" i="4"/>
  <c r="R33" i="4"/>
  <c r="L53" i="4"/>
  <c r="AD43" i="4"/>
  <c r="X33" i="4"/>
  <c r="AJ23" i="4"/>
  <c r="X23" i="4"/>
  <c r="L23" i="4"/>
  <c r="AJ13" i="4"/>
  <c r="X13" i="4"/>
  <c r="L13" i="4"/>
  <c r="AJ53" i="4"/>
  <c r="AJ33" i="4"/>
  <c r="AD23" i="4"/>
  <c r="R23" i="4"/>
  <c r="AD13" i="4"/>
  <c r="R13" i="4"/>
  <c r="L33" i="4"/>
  <c r="AC53" i="4"/>
  <c r="Q53" i="4"/>
  <c r="AI53" i="4"/>
  <c r="K53" i="4"/>
  <c r="AC43" i="4"/>
  <c r="Q43" i="4"/>
  <c r="W53" i="4"/>
  <c r="AI43" i="4"/>
  <c r="W43" i="4"/>
  <c r="K43" i="4"/>
  <c r="AI33" i="4"/>
  <c r="W33" i="4"/>
  <c r="K33" i="4"/>
  <c r="AC33" i="4"/>
  <c r="Q33" i="4"/>
  <c r="AI23" i="4"/>
  <c r="W23" i="4"/>
  <c r="K23" i="4"/>
  <c r="AI13" i="4"/>
  <c r="W13" i="4"/>
  <c r="K13" i="4"/>
  <c r="AC23" i="4"/>
  <c r="Q13" i="4"/>
  <c r="Q23" i="4"/>
  <c r="AC13" i="4"/>
  <c r="AL55" i="4"/>
  <c r="Z55" i="4"/>
  <c r="N55" i="4"/>
  <c r="AL45" i="4"/>
  <c r="Z45" i="4"/>
  <c r="N45" i="4"/>
  <c r="T55" i="4"/>
  <c r="AF45" i="4"/>
  <c r="AF55" i="4"/>
  <c r="AL35" i="4"/>
  <c r="Z35" i="4"/>
  <c r="N35" i="4"/>
  <c r="AF25" i="4"/>
  <c r="T25" i="4"/>
  <c r="AF15" i="4"/>
  <c r="T15" i="4"/>
  <c r="T45" i="4"/>
  <c r="T35" i="4"/>
  <c r="AL25" i="4"/>
  <c r="Z25" i="4"/>
  <c r="N25" i="4"/>
  <c r="AL15" i="4"/>
  <c r="Z15" i="4"/>
  <c r="N15" i="4"/>
  <c r="AF35" i="4"/>
  <c r="AL53" i="4"/>
  <c r="Z53" i="4"/>
  <c r="N53" i="4"/>
  <c r="AF53" i="4"/>
  <c r="AF43" i="4"/>
  <c r="T43" i="4"/>
  <c r="AL43" i="4"/>
  <c r="T53" i="4"/>
  <c r="AL33" i="4"/>
  <c r="Z33" i="4"/>
  <c r="N33" i="4"/>
  <c r="N43" i="4"/>
  <c r="Z43" i="4"/>
  <c r="AF23" i="4"/>
  <c r="T23" i="4"/>
  <c r="AF13" i="4"/>
  <c r="T13" i="4"/>
  <c r="T33" i="4"/>
  <c r="AF33" i="4"/>
  <c r="AL23" i="4"/>
  <c r="Z23" i="4"/>
  <c r="N23" i="4"/>
  <c r="AL13" i="4"/>
  <c r="Z13" i="4"/>
  <c r="N13" i="4"/>
  <c r="AK47" i="4"/>
  <c r="Y47" i="4"/>
  <c r="M47" i="4"/>
  <c r="AE47" i="4"/>
  <c r="S47" i="4"/>
  <c r="AE37" i="4"/>
  <c r="S37" i="4"/>
  <c r="AK37" i="4"/>
  <c r="Y37" i="4"/>
  <c r="M37" i="4"/>
  <c r="AE27" i="4"/>
  <c r="S27" i="4"/>
  <c r="AE17" i="4"/>
  <c r="S17" i="4"/>
  <c r="AK27" i="4"/>
  <c r="AK7" i="4"/>
  <c r="Y7" i="4"/>
  <c r="M7" i="4"/>
  <c r="M17" i="4"/>
  <c r="M27" i="4"/>
  <c r="Y17" i="4"/>
  <c r="AE7" i="4"/>
  <c r="S7" i="4"/>
  <c r="Y27" i="4"/>
  <c r="AK17" i="4"/>
  <c r="AC55" i="4"/>
  <c r="Q55" i="4"/>
  <c r="AC45" i="4"/>
  <c r="Q45" i="4"/>
  <c r="W55" i="4"/>
  <c r="AI45" i="4"/>
  <c r="K45" i="4"/>
  <c r="AI55" i="4"/>
  <c r="K55" i="4"/>
  <c r="W45" i="4"/>
  <c r="AI35" i="4"/>
  <c r="W35" i="4"/>
  <c r="K35" i="4"/>
  <c r="AC35" i="4"/>
  <c r="Q35" i="4"/>
  <c r="AI25" i="4"/>
  <c r="W25" i="4"/>
  <c r="K25" i="4"/>
  <c r="AI15" i="4"/>
  <c r="W15" i="4"/>
  <c r="K15" i="4"/>
  <c r="Q25" i="4"/>
  <c r="AC15" i="4"/>
  <c r="AC25" i="4"/>
  <c r="Q15" i="4"/>
  <c r="AK51" i="4"/>
  <c r="Y51" i="4"/>
  <c r="M51" i="4"/>
  <c r="AE51" i="4"/>
  <c r="AK41" i="4"/>
  <c r="Y41" i="4"/>
  <c r="M41" i="4"/>
  <c r="S51" i="4"/>
  <c r="AE41" i="4"/>
  <c r="S41" i="4"/>
  <c r="AE31" i="4"/>
  <c r="S31" i="4"/>
  <c r="AK31" i="4"/>
  <c r="Y31" i="4"/>
  <c r="M31" i="4"/>
  <c r="AE21" i="4"/>
  <c r="S21" i="4"/>
  <c r="AE11" i="4"/>
  <c r="S11" i="4"/>
  <c r="Y21" i="4"/>
  <c r="AK11" i="4"/>
  <c r="Y11" i="4"/>
  <c r="AK21" i="4"/>
  <c r="M11" i="4"/>
  <c r="M21" i="4"/>
  <c r="AG55" i="4"/>
  <c r="U55" i="4"/>
  <c r="AG45" i="4"/>
  <c r="U45" i="4"/>
  <c r="AM55" i="4"/>
  <c r="O55" i="4"/>
  <c r="AA45" i="4"/>
  <c r="AA55" i="4"/>
  <c r="AM45" i="4"/>
  <c r="O45" i="4"/>
  <c r="AM35" i="4"/>
  <c r="AA35" i="4"/>
  <c r="O35" i="4"/>
  <c r="AG35" i="4"/>
  <c r="U35" i="4"/>
  <c r="AM25" i="4"/>
  <c r="AA25" i="4"/>
  <c r="O25" i="4"/>
  <c r="AM15" i="4"/>
  <c r="AA15" i="4"/>
  <c r="O15" i="4"/>
  <c r="AG25" i="4"/>
  <c r="U15" i="4"/>
  <c r="U25" i="4"/>
  <c r="AG15" i="4"/>
  <c r="AG51" i="4"/>
  <c r="U51" i="4"/>
  <c r="AM51" i="4"/>
  <c r="O51" i="4"/>
  <c r="AG41" i="4"/>
  <c r="U41" i="4"/>
  <c r="AA51" i="4"/>
  <c r="AM41" i="4"/>
  <c r="AA41" i="4"/>
  <c r="O41" i="4"/>
  <c r="AM31" i="4"/>
  <c r="AA31" i="4"/>
  <c r="O31" i="4"/>
  <c r="AG31" i="4"/>
  <c r="U31" i="4"/>
  <c r="AM21" i="4"/>
  <c r="AA21" i="4"/>
  <c r="O21" i="4"/>
  <c r="AM11" i="4"/>
  <c r="AA11" i="4"/>
  <c r="O11" i="4"/>
  <c r="U21" i="4"/>
  <c r="AG11" i="4"/>
  <c r="AG21" i="4"/>
  <c r="U11" i="4"/>
  <c r="AK55" i="4"/>
  <c r="Y55" i="4"/>
  <c r="M55" i="4"/>
  <c r="AK45" i="4"/>
  <c r="Y45" i="4"/>
  <c r="M45" i="4"/>
  <c r="AE55" i="4"/>
  <c r="S45" i="4"/>
  <c r="S55" i="4"/>
  <c r="AE45" i="4"/>
  <c r="AE35" i="4"/>
  <c r="S35" i="4"/>
  <c r="AK35" i="4"/>
  <c r="Y35" i="4"/>
  <c r="M35" i="4"/>
  <c r="AE25" i="4"/>
  <c r="S25" i="4"/>
  <c r="AE15" i="4"/>
  <c r="S15" i="4"/>
  <c r="M15" i="4"/>
  <c r="M25" i="4"/>
  <c r="Y15" i="4"/>
  <c r="Y25" i="4"/>
  <c r="AK15" i="4"/>
  <c r="AK25" i="4"/>
  <c r="AB31" i="4" l="1"/>
  <c r="J51" i="4"/>
  <c r="P31" i="4"/>
  <c r="J31" i="4"/>
  <c r="V31" i="4"/>
  <c r="AH11" i="4"/>
  <c r="P21" i="4"/>
  <c r="AH41" i="4"/>
  <c r="J21" i="4"/>
  <c r="AB21" i="4"/>
  <c r="P41" i="4"/>
  <c r="J11" i="4"/>
  <c r="V21" i="4"/>
  <c r="P11" i="4"/>
  <c r="V41" i="4"/>
  <c r="AH31" i="4"/>
  <c r="AB41" i="4"/>
  <c r="AH51" i="4"/>
  <c r="V11" i="4"/>
  <c r="AH21" i="4"/>
  <c r="AB11" i="4"/>
  <c r="J41" i="4"/>
  <c r="P51" i="4"/>
  <c r="AC7" i="4"/>
  <c r="W27" i="4"/>
  <c r="Q27" i="4"/>
  <c r="W17" i="4"/>
  <c r="Q37" i="4"/>
  <c r="AI47" i="4"/>
  <c r="AC27" i="4"/>
  <c r="K17" i="4"/>
  <c r="AI27" i="4"/>
  <c r="AI37" i="4"/>
  <c r="W7" i="4"/>
  <c r="Q7" i="4"/>
  <c r="AI17" i="4"/>
  <c r="K37" i="4"/>
  <c r="W47" i="4"/>
  <c r="K7" i="4"/>
  <c r="AC17" i="4"/>
  <c r="Q17" i="4"/>
  <c r="K27" i="4"/>
  <c r="AC37" i="4"/>
  <c r="K47" i="4"/>
  <c r="R27" i="4"/>
  <c r="AH9" i="4"/>
  <c r="AB49" i="4"/>
  <c r="V49" i="4"/>
  <c r="AH49" i="4"/>
  <c r="AH19" i="4"/>
  <c r="AB9" i="4"/>
  <c r="P29" i="4"/>
  <c r="V19" i="4"/>
  <c r="J39" i="4"/>
  <c r="P9" i="4"/>
  <c r="V29" i="4"/>
  <c r="V39" i="4"/>
  <c r="AB19" i="4"/>
  <c r="P39" i="4"/>
  <c r="J9" i="4"/>
  <c r="J19" i="4"/>
  <c r="AH29" i="4"/>
  <c r="AB29" i="4"/>
  <c r="J49" i="4"/>
  <c r="V9" i="4"/>
  <c r="AH39" i="4"/>
  <c r="J29" i="4"/>
  <c r="P19" i="4"/>
  <c r="AB39" i="4"/>
  <c r="AD10" i="4" l="1"/>
  <c r="AD51" i="4"/>
  <c r="R41" i="4"/>
  <c r="AJ11" i="4"/>
  <c r="R11" i="4"/>
  <c r="R51" i="4"/>
  <c r="X41" i="4"/>
  <c r="AD41" i="4"/>
  <c r="AJ21" i="4"/>
  <c r="X11" i="4"/>
  <c r="R21" i="4"/>
  <c r="X21" i="4"/>
  <c r="AJ51" i="4"/>
  <c r="L41" i="4"/>
  <c r="AD31" i="4"/>
  <c r="L11" i="4"/>
  <c r="AD11" i="4"/>
  <c r="L51" i="4"/>
  <c r="X51" i="4"/>
  <c r="R31" i="4"/>
  <c r="L21" i="4"/>
  <c r="L31" i="4"/>
  <c r="X31" i="4"/>
  <c r="AJ41" i="4"/>
  <c r="AJ31" i="4"/>
  <c r="AD21" i="4"/>
  <c r="AC51" i="4"/>
  <c r="K31" i="4"/>
  <c r="K11" i="4"/>
  <c r="Q51" i="4"/>
  <c r="AI51" i="4"/>
  <c r="K41" i="4"/>
  <c r="AC31" i="4"/>
  <c r="K21" i="4"/>
  <c r="Q11" i="4"/>
  <c r="W51" i="4"/>
  <c r="AI31" i="4"/>
  <c r="AI11" i="4"/>
  <c r="K51" i="4"/>
  <c r="Q31" i="4"/>
  <c r="Q21" i="4"/>
  <c r="AC41" i="4"/>
  <c r="AI41" i="4"/>
  <c r="W31" i="4"/>
  <c r="AI21" i="4"/>
  <c r="W11" i="4"/>
  <c r="AC11" i="4"/>
  <c r="Q41" i="4"/>
  <c r="W41" i="4"/>
  <c r="W21" i="4"/>
  <c r="AC21" i="4"/>
  <c r="R50" i="4"/>
  <c r="X30" i="4"/>
  <c r="AJ30" i="4"/>
  <c r="L20" i="4"/>
  <c r="AJ40" i="4"/>
  <c r="L30" i="4"/>
  <c r="X40" i="4"/>
  <c r="AD30" i="4"/>
  <c r="L40" i="4"/>
  <c r="R20" i="4"/>
  <c r="R40" i="4"/>
  <c r="AC50" i="4"/>
  <c r="AC10" i="4"/>
  <c r="Q20" i="4"/>
  <c r="K10" i="4"/>
  <c r="K50" i="4"/>
  <c r="AC20" i="4"/>
  <c r="Q10" i="4"/>
  <c r="Q50" i="4"/>
  <c r="Q40" i="4"/>
  <c r="Q30" i="4"/>
  <c r="K20" i="4"/>
  <c r="AC40" i="4"/>
  <c r="AC30" i="4"/>
  <c r="AI10" i="4"/>
  <c r="W40" i="4"/>
  <c r="AI30" i="4"/>
  <c r="AI20" i="4"/>
  <c r="AI40" i="4"/>
  <c r="K30" i="4"/>
  <c r="W10" i="4"/>
  <c r="W50" i="4"/>
  <c r="K40" i="4"/>
  <c r="W20" i="4"/>
  <c r="AI50" i="4"/>
  <c r="W30" i="4"/>
  <c r="X47" i="4"/>
  <c r="L37" i="4"/>
  <c r="L17" i="4"/>
  <c r="X37" i="4"/>
  <c r="AD17" i="4"/>
  <c r="R17" i="4"/>
  <c r="AD27" i="4"/>
  <c r="R47" i="4"/>
  <c r="L47" i="4"/>
  <c r="AD47" i="4"/>
  <c r="AJ47" i="4"/>
  <c r="X27" i="4"/>
  <c r="AD37" i="4"/>
  <c r="X7" i="4"/>
  <c r="AJ27" i="4"/>
  <c r="AJ37" i="4"/>
  <c r="R37" i="4"/>
  <c r="L7" i="4"/>
  <c r="AJ7" i="4"/>
  <c r="AD7" i="4"/>
  <c r="L27" i="4"/>
  <c r="R7" i="4"/>
  <c r="X17" i="4"/>
  <c r="AJ17" i="4"/>
  <c r="R39" i="4"/>
  <c r="AI49" i="4"/>
  <c r="W49" i="4"/>
  <c r="AI29" i="4"/>
  <c r="W19" i="4"/>
  <c r="Q19" i="4"/>
  <c r="W9" i="4"/>
  <c r="W39" i="4"/>
  <c r="Q39" i="4"/>
  <c r="AI19" i="4"/>
  <c r="AI9" i="4"/>
  <c r="K49" i="4"/>
  <c r="AI39" i="4"/>
  <c r="W29" i="4"/>
  <c r="K19" i="4"/>
  <c r="Q29" i="4"/>
  <c r="K9" i="4"/>
  <c r="AC49" i="4"/>
  <c r="K29" i="4"/>
  <c r="AC9" i="4"/>
  <c r="AC29" i="4"/>
  <c r="Q49" i="4"/>
  <c r="K39" i="4"/>
  <c r="Q9" i="4"/>
  <c r="AC39" i="4"/>
  <c r="AC19" i="4"/>
  <c r="X49" i="4"/>
  <c r="AD39" i="4"/>
  <c r="M46" i="4"/>
  <c r="AK36" i="4"/>
  <c r="S26" i="4"/>
  <c r="AE16" i="4"/>
  <c r="M26" i="4"/>
  <c r="AK6" i="4"/>
  <c r="M6" i="4"/>
  <c r="Y6" i="4"/>
  <c r="AK16" i="4"/>
  <c r="M16" i="4"/>
  <c r="Y36" i="4"/>
  <c r="AE6" i="4"/>
  <c r="S46" i="4"/>
  <c r="Y46" i="4"/>
  <c r="Y26" i="4"/>
  <c r="AK26" i="4"/>
  <c r="AE26" i="4"/>
  <c r="AE46" i="4"/>
  <c r="M36" i="4"/>
  <c r="Y16" i="4"/>
  <c r="S36" i="4"/>
  <c r="AK46" i="4"/>
  <c r="S16" i="4"/>
  <c r="AE36" i="4"/>
  <c r="S6" i="4"/>
  <c r="L10" i="4" l="1"/>
  <c r="AJ10" i="4"/>
  <c r="AJ20" i="4"/>
  <c r="X20" i="4"/>
  <c r="AJ50" i="4"/>
  <c r="AD50" i="4"/>
  <c r="AD20" i="4"/>
  <c r="L50" i="4"/>
  <c r="R30" i="4"/>
  <c r="X10" i="4"/>
  <c r="R10" i="4"/>
  <c r="X50" i="4"/>
  <c r="AD40" i="4"/>
  <c r="AD29" i="4"/>
  <c r="AD49" i="4"/>
  <c r="AJ19" i="4"/>
  <c r="AJ39" i="4"/>
  <c r="X29" i="4"/>
  <c r="L49" i="4"/>
  <c r="AJ9" i="4"/>
  <c r="AD9" i="4"/>
  <c r="L29" i="4"/>
  <c r="X39" i="4"/>
  <c r="R19" i="4"/>
  <c r="L9" i="4"/>
  <c r="X9" i="4"/>
  <c r="X19" i="4"/>
  <c r="R49" i="4"/>
  <c r="AJ49" i="4"/>
  <c r="AD19" i="4"/>
  <c r="R9" i="4"/>
  <c r="AJ29" i="4"/>
  <c r="L19" i="4"/>
  <c r="L39" i="4"/>
  <c r="R29" i="4"/>
  <c r="AK39" i="4"/>
  <c r="Z36" i="4"/>
  <c r="AL26" i="4"/>
  <c r="AL46" i="4"/>
  <c r="N16" i="4"/>
  <c r="N36" i="4"/>
  <c r="T46" i="4"/>
  <c r="N26" i="4"/>
  <c r="T6" i="4"/>
  <c r="AF6" i="4"/>
  <c r="Z46" i="4"/>
  <c r="T26" i="4"/>
  <c r="AL6" i="4"/>
  <c r="AL36" i="4"/>
  <c r="Z26" i="4"/>
  <c r="Z16" i="4"/>
  <c r="T16" i="4"/>
  <c r="T36" i="4"/>
  <c r="N46" i="4"/>
  <c r="N6" i="4"/>
  <c r="Z6" i="4"/>
  <c r="AF36" i="4"/>
  <c r="AF26" i="4"/>
  <c r="AF46" i="4"/>
  <c r="AL16" i="4"/>
  <c r="AF16" i="4"/>
  <c r="M9" i="4" l="1"/>
  <c r="M39" i="4"/>
  <c r="Y29" i="4"/>
  <c r="Y49" i="4"/>
  <c r="M49" i="4"/>
  <c r="S49" i="4"/>
  <c r="S9" i="4"/>
  <c r="AK9" i="4"/>
  <c r="Y9" i="4"/>
  <c r="AK29" i="4"/>
  <c r="AE19" i="4"/>
  <c r="AE49" i="4"/>
  <c r="S19" i="4"/>
  <c r="AE39" i="4"/>
  <c r="S39" i="4"/>
  <c r="M29" i="4"/>
  <c r="Y19" i="4"/>
  <c r="AK49" i="4"/>
  <c r="T49" i="4"/>
  <c r="AK19" i="4"/>
  <c r="AE29" i="4"/>
  <c r="AE9" i="4"/>
  <c r="Y39" i="4"/>
  <c r="S29" i="4"/>
  <c r="M19" i="4"/>
  <c r="N29" i="4" l="1"/>
  <c r="AF49" i="4"/>
  <c r="Z9" i="4"/>
  <c r="N19" i="4"/>
  <c r="Z39" i="4"/>
  <c r="AL39" i="4"/>
  <c r="AF29" i="4"/>
  <c r="Z29" i="4"/>
  <c r="AL9" i="4"/>
  <c r="T9" i="4"/>
  <c r="AF39" i="4"/>
  <c r="N49" i="4"/>
  <c r="AF19" i="4"/>
  <c r="AL49" i="4"/>
  <c r="T29" i="4"/>
  <c r="AL29" i="4"/>
  <c r="AL19" i="4"/>
  <c r="Z49" i="4"/>
  <c r="N9" i="4"/>
  <c r="T39" i="4"/>
  <c r="N39" i="4"/>
  <c r="T19" i="4"/>
  <c r="Z19" i="4"/>
  <c r="AF9" i="4"/>
  <c r="U49" i="4"/>
  <c r="AM49" i="4"/>
  <c r="O39" i="4"/>
  <c r="AM19" i="4"/>
  <c r="AG9" i="4"/>
  <c r="AG29" i="4"/>
  <c r="AA29" i="4"/>
  <c r="U39" i="4"/>
  <c r="O29" i="4"/>
  <c r="AA49" i="4"/>
  <c r="O49" i="4"/>
  <c r="AM29" i="4"/>
  <c r="AA19" i="4"/>
  <c r="U9" i="4"/>
  <c r="AM9" i="4"/>
  <c r="AG39" i="4"/>
  <c r="O19" i="4"/>
  <c r="AA9" i="4"/>
  <c r="AG49" i="4"/>
  <c r="AG19" i="4"/>
  <c r="AM39" i="4"/>
  <c r="U29" i="4"/>
  <c r="AA39" i="4"/>
  <c r="U19" i="4"/>
  <c r="O9" i="4"/>
  <c r="K36" i="2" l="1"/>
  <c r="L36" i="2" s="1"/>
  <c r="K41" i="2"/>
  <c r="L41" i="2" s="1"/>
  <c r="K26" i="2"/>
  <c r="L26" i="2" s="1"/>
  <c r="K31" i="2"/>
  <c r="L31" i="2" s="1"/>
  <c r="K16" i="2"/>
  <c r="K21" i="2"/>
  <c r="L21" i="2" s="1"/>
  <c r="M21" i="2" l="1"/>
  <c r="N21" i="2"/>
  <c r="M31" i="2"/>
  <c r="N31" i="2"/>
  <c r="M26" i="2"/>
  <c r="N26" i="2"/>
  <c r="N41" i="2"/>
  <c r="M41" i="2"/>
  <c r="N36" i="2"/>
  <c r="M36" i="2"/>
  <c r="AB21" i="2"/>
  <c r="N6" i="3"/>
  <c r="L16" i="2"/>
  <c r="N16" i="2" s="1"/>
  <c r="N24" i="3"/>
  <c r="N16" i="3"/>
  <c r="N32" i="3"/>
  <c r="AL16" i="3"/>
  <c r="Z32" i="3"/>
  <c r="AF32" i="3"/>
  <c r="Z24" i="3"/>
  <c r="N8" i="3"/>
  <c r="AF16" i="3"/>
  <c r="N40" i="3"/>
  <c r="AL8" i="3"/>
  <c r="AL40" i="3"/>
  <c r="AF40" i="3"/>
  <c r="T32" i="3"/>
  <c r="T40" i="3"/>
  <c r="T16" i="3"/>
  <c r="Z8" i="3"/>
  <c r="AF24" i="3"/>
  <c r="AL32" i="3"/>
  <c r="Z16" i="3"/>
  <c r="T24" i="3"/>
  <c r="T8" i="3"/>
  <c r="AL24" i="3"/>
  <c r="AF8" i="3"/>
  <c r="Z40" i="3"/>
  <c r="P40" i="3"/>
  <c r="P16" i="3"/>
  <c r="P8" i="3"/>
  <c r="V40" i="3"/>
  <c r="V32" i="3"/>
  <c r="AB8" i="3"/>
  <c r="V16" i="3"/>
  <c r="J8" i="3"/>
  <c r="AB40" i="3"/>
  <c r="V24" i="3"/>
  <c r="P32" i="3"/>
  <c r="AB16" i="3"/>
  <c r="J40" i="3"/>
  <c r="J16" i="3"/>
  <c r="AH32" i="3"/>
  <c r="AH24" i="3"/>
  <c r="AH8" i="3"/>
  <c r="V8" i="3"/>
  <c r="J32" i="3"/>
  <c r="J24" i="3"/>
  <c r="AB32" i="3"/>
  <c r="AH16" i="3"/>
  <c r="P24" i="3"/>
  <c r="AH40" i="3"/>
  <c r="AB24" i="3"/>
  <c r="X38" i="3"/>
  <c r="R6" i="3"/>
  <c r="L6" i="3"/>
  <c r="L14" i="3"/>
  <c r="L30" i="3"/>
  <c r="R30" i="3"/>
  <c r="AD14" i="3"/>
  <c r="L38" i="3"/>
  <c r="AJ22" i="3"/>
  <c r="R14" i="3"/>
  <c r="X30" i="3"/>
  <c r="AD38" i="3"/>
  <c r="X14" i="3"/>
  <c r="R38" i="3"/>
  <c r="AJ14" i="3"/>
  <c r="AD30" i="3"/>
  <c r="L22" i="3"/>
  <c r="AJ30" i="3"/>
  <c r="AD22" i="3"/>
  <c r="R22" i="3"/>
  <c r="X6" i="3"/>
  <c r="AJ6" i="3"/>
  <c r="AD6" i="3"/>
  <c r="X22" i="3"/>
  <c r="AJ38" i="3"/>
  <c r="AB22" i="2" l="1"/>
  <c r="AA22" i="2" s="1"/>
  <c r="AA21" i="2"/>
  <c r="J38" i="3"/>
  <c r="V6" i="3"/>
  <c r="AH14" i="3"/>
  <c r="AB38" i="3"/>
  <c r="AH22" i="3"/>
  <c r="AH30" i="3"/>
  <c r="P30" i="3"/>
  <c r="J30" i="3"/>
  <c r="AB22" i="3"/>
  <c r="AL30" i="3"/>
  <c r="AL22" i="3"/>
  <c r="T30" i="3"/>
  <c r="AF30" i="3"/>
  <c r="AF22" i="3"/>
  <c r="Z14" i="3"/>
  <c r="N14" i="3"/>
  <c r="AF6" i="3"/>
  <c r="AL38" i="3"/>
  <c r="T14" i="3"/>
  <c r="T6" i="3"/>
  <c r="Z38" i="3"/>
  <c r="T38" i="3"/>
  <c r="Z22" i="3"/>
  <c r="AL6" i="3"/>
  <c r="AF38" i="3"/>
  <c r="N30" i="3"/>
  <c r="AL14" i="3"/>
  <c r="N22" i="3"/>
  <c r="Z6" i="3"/>
  <c r="AF14" i="3"/>
  <c r="T22" i="3"/>
  <c r="N38" i="3"/>
  <c r="L24" i="3"/>
  <c r="AJ32" i="3"/>
  <c r="Z30" i="3"/>
  <c r="AB26" i="2"/>
  <c r="X24" i="3"/>
  <c r="X8" i="3"/>
  <c r="R32" i="3"/>
  <c r="L8" i="3"/>
  <c r="AJ40" i="3"/>
  <c r="AD32" i="3"/>
  <c r="AJ8" i="3"/>
  <c r="L16" i="3"/>
  <c r="L32" i="3"/>
  <c r="X16" i="3"/>
  <c r="AD24" i="3"/>
  <c r="M16" i="2"/>
  <c r="AJ24" i="3"/>
  <c r="AD16" i="3"/>
  <c r="R24" i="3"/>
  <c r="AD8" i="3"/>
  <c r="R8" i="3"/>
  <c r="R40" i="3"/>
  <c r="R16" i="3"/>
  <c r="AJ16" i="3"/>
  <c r="X32" i="3"/>
  <c r="X40" i="3"/>
  <c r="AD40" i="3"/>
  <c r="L40" i="3"/>
  <c r="J22" i="3"/>
  <c r="P22" i="3"/>
  <c r="AB14" i="3"/>
  <c r="AH6" i="3"/>
  <c r="V38" i="3"/>
  <c r="AB6" i="3"/>
  <c r="V14" i="3"/>
  <c r="V30" i="3"/>
  <c r="AH38" i="3"/>
  <c r="P38" i="3"/>
  <c r="V22" i="3"/>
  <c r="AB30" i="3"/>
  <c r="P6" i="3"/>
  <c r="J14" i="3"/>
  <c r="P14" i="3"/>
  <c r="J6" i="3"/>
  <c r="AA26" i="2" l="1"/>
  <c r="P18" i="4" s="1"/>
  <c r="AB27" i="2"/>
  <c r="AB23" i="2"/>
  <c r="AA23" i="2" s="1"/>
  <c r="AM17" i="4" s="1"/>
  <c r="AB16" i="2"/>
  <c r="AB17" i="2" s="1"/>
  <c r="AC21" i="2"/>
  <c r="J47" i="4"/>
  <c r="AH27" i="4"/>
  <c r="J27" i="4"/>
  <c r="AB37" i="4"/>
  <c r="AB27" i="4"/>
  <c r="AB17" i="4"/>
  <c r="V47" i="4"/>
  <c r="V37" i="4"/>
  <c r="P27" i="4"/>
  <c r="P47" i="4"/>
  <c r="AH37" i="4"/>
  <c r="V27" i="4"/>
  <c r="AH7" i="4"/>
  <c r="AH17" i="4"/>
  <c r="AB47" i="4"/>
  <c r="P17" i="4"/>
  <c r="J17" i="4"/>
  <c r="J37" i="4"/>
  <c r="V17" i="4"/>
  <c r="J7" i="4"/>
  <c r="P37" i="4"/>
  <c r="P7" i="4"/>
  <c r="AH47" i="4"/>
  <c r="AB7" i="4"/>
  <c r="V7" i="4"/>
  <c r="AC26" i="2"/>
  <c r="J18" i="4"/>
  <c r="V48" i="4"/>
  <c r="J8" i="4"/>
  <c r="V18" i="4"/>
  <c r="V28" i="4"/>
  <c r="P48" i="4"/>
  <c r="AH18" i="4"/>
  <c r="AB8" i="4"/>
  <c r="AB18" i="4"/>
  <c r="V8" i="4"/>
  <c r="AH38" i="4"/>
  <c r="P8" i="4"/>
  <c r="AB38" i="4"/>
  <c r="J38" i="4"/>
  <c r="AH28" i="4"/>
  <c r="AB28" i="4"/>
  <c r="AB48" i="4"/>
  <c r="AH8" i="4"/>
  <c r="J48" i="4"/>
  <c r="V38" i="4"/>
  <c r="P38" i="4"/>
  <c r="J28" i="4"/>
  <c r="AH48" i="4"/>
  <c r="P28" i="4"/>
  <c r="AC22" i="2"/>
  <c r="T27" i="4"/>
  <c r="AF7" i="4"/>
  <c r="T37" i="4"/>
  <c r="Z27" i="4"/>
  <c r="N7" i="4"/>
  <c r="Z7" i="4"/>
  <c r="AF37" i="4"/>
  <c r="AL27" i="4"/>
  <c r="N37" i="4"/>
  <c r="N17" i="4"/>
  <c r="AF27" i="4"/>
  <c r="Z47" i="4"/>
  <c r="AL17" i="4"/>
  <c r="AL7" i="4"/>
  <c r="Z17" i="4"/>
  <c r="AF47" i="4"/>
  <c r="N27" i="4"/>
  <c r="AL47" i="4"/>
  <c r="T47" i="4"/>
  <c r="Z37" i="4"/>
  <c r="AL37" i="4"/>
  <c r="N47" i="4"/>
  <c r="T17" i="4"/>
  <c r="AF17" i="4"/>
  <c r="T7" i="4"/>
  <c r="AA27" i="2" l="1"/>
  <c r="AB28" i="2"/>
  <c r="AA28" i="2" s="1"/>
  <c r="U47" i="4"/>
  <c r="U37" i="4"/>
  <c r="AC23" i="2"/>
  <c r="AD21" i="2" s="1"/>
  <c r="AG37" i="4"/>
  <c r="U17" i="4"/>
  <c r="AA7" i="4"/>
  <c r="AM37" i="4"/>
  <c r="AA37" i="4"/>
  <c r="U7" i="4"/>
  <c r="AG17" i="4"/>
  <c r="AG27" i="4"/>
  <c r="AM27" i="4"/>
  <c r="O17" i="4"/>
  <c r="O47" i="4"/>
  <c r="AA47" i="4"/>
  <c r="O27" i="4"/>
  <c r="AG47" i="4"/>
  <c r="AG7" i="4"/>
  <c r="AA27" i="4"/>
  <c r="AM47" i="4"/>
  <c r="U27" i="4"/>
  <c r="O7" i="4"/>
  <c r="AA17" i="4"/>
  <c r="O37" i="4"/>
  <c r="AM7" i="4"/>
  <c r="AA17" i="2"/>
  <c r="AC17" i="2" s="1"/>
  <c r="AB18" i="2"/>
  <c r="AA18" i="2" s="1"/>
  <c r="AA16" i="2"/>
  <c r="AC28" i="2" l="1"/>
  <c r="R18" i="4"/>
  <c r="AJ18" i="4"/>
  <c r="L8" i="4"/>
  <c r="X28" i="4"/>
  <c r="AD38" i="4"/>
  <c r="AJ48" i="4"/>
  <c r="X48" i="4"/>
  <c r="R48" i="4"/>
  <c r="AD18" i="4"/>
  <c r="X8" i="4"/>
  <c r="AJ8" i="4"/>
  <c r="L48" i="4"/>
  <c r="X18" i="4"/>
  <c r="L28" i="4"/>
  <c r="L38" i="4"/>
  <c r="R8" i="4"/>
  <c r="X38" i="4"/>
  <c r="AJ38" i="4"/>
  <c r="R28" i="4"/>
  <c r="L18" i="4"/>
  <c r="AD48" i="4"/>
  <c r="R38" i="4"/>
  <c r="AJ28" i="4"/>
  <c r="AD28" i="4"/>
  <c r="AD8" i="4"/>
  <c r="AC27" i="2"/>
  <c r="Q38" i="4"/>
  <c r="Q48" i="4"/>
  <c r="AC48" i="4"/>
  <c r="Q8" i="4"/>
  <c r="AI38" i="4"/>
  <c r="K28" i="4"/>
  <c r="AC38" i="4"/>
  <c r="Q28" i="4"/>
  <c r="Q18" i="4"/>
  <c r="AI48" i="4"/>
  <c r="AI28" i="4"/>
  <c r="K8" i="4"/>
  <c r="K18" i="4"/>
  <c r="W18" i="4"/>
  <c r="AC8" i="4"/>
  <c r="W28" i="4"/>
  <c r="AC28" i="4"/>
  <c r="W8" i="4"/>
  <c r="AI8" i="4"/>
  <c r="K48" i="4"/>
  <c r="AI18" i="4"/>
  <c r="K38" i="4"/>
  <c r="AC18" i="4"/>
  <c r="W48" i="4"/>
  <c r="W38" i="4"/>
  <c r="K26" i="4"/>
  <c r="Q6" i="4"/>
  <c r="AC26" i="4"/>
  <c r="AI26" i="4"/>
  <c r="W6" i="4"/>
  <c r="AC6" i="4"/>
  <c r="K46" i="4"/>
  <c r="W46" i="4"/>
  <c r="AC46" i="4"/>
  <c r="W16" i="4"/>
  <c r="AI6" i="4"/>
  <c r="K16" i="4"/>
  <c r="K36" i="4"/>
  <c r="AI16" i="4"/>
  <c r="Q16" i="4"/>
  <c r="W26" i="4"/>
  <c r="AC16" i="4"/>
  <c r="Q46" i="4"/>
  <c r="Q36" i="4"/>
  <c r="W36" i="4"/>
  <c r="AC36" i="4"/>
  <c r="K6" i="4"/>
  <c r="AI36" i="4"/>
  <c r="Q26" i="4"/>
  <c r="AI46" i="4"/>
  <c r="AC18" i="2"/>
  <c r="R6" i="4"/>
  <c r="R36" i="4"/>
  <c r="X46" i="4"/>
  <c r="R46" i="4"/>
  <c r="AJ6" i="4"/>
  <c r="AD16" i="4"/>
  <c r="R26" i="4"/>
  <c r="AD46" i="4"/>
  <c r="X6" i="4"/>
  <c r="AD6" i="4"/>
  <c r="AD36" i="4"/>
  <c r="L16" i="4"/>
  <c r="R16" i="4"/>
  <c r="L26" i="4"/>
  <c r="L6" i="4"/>
  <c r="AJ16" i="4"/>
  <c r="X16" i="4"/>
  <c r="L36" i="4"/>
  <c r="AJ46" i="4"/>
  <c r="X26" i="4"/>
  <c r="L46" i="4"/>
  <c r="AJ36" i="4"/>
  <c r="X36" i="4"/>
  <c r="AJ26" i="4"/>
  <c r="AD26" i="4"/>
  <c r="V16" i="4"/>
  <c r="J46" i="4"/>
  <c r="J16" i="4"/>
  <c r="AB6" i="4"/>
  <c r="AC16" i="2"/>
  <c r="P46" i="4"/>
  <c r="AH36" i="4"/>
  <c r="V36" i="4"/>
  <c r="AB26" i="4"/>
  <c r="P6" i="4"/>
  <c r="AB46" i="4"/>
  <c r="P36" i="4"/>
  <c r="AH26" i="4"/>
  <c r="V6" i="4"/>
  <c r="J36" i="4"/>
  <c r="V46" i="4"/>
  <c r="J6" i="4"/>
  <c r="J26" i="4"/>
  <c r="P26" i="4"/>
  <c r="AH16" i="4"/>
  <c r="AH46" i="4"/>
  <c r="AB36" i="4"/>
  <c r="V26" i="4"/>
  <c r="AH6" i="4"/>
  <c r="P16" i="4"/>
  <c r="AB16" i="4"/>
  <c r="AD26" i="2" l="1"/>
  <c r="AD16" i="2"/>
</calcChain>
</file>

<file path=xl/sharedStrings.xml><?xml version="1.0" encoding="utf-8"?>
<sst xmlns="http://schemas.openxmlformats.org/spreadsheetml/2006/main" count="411" uniqueCount="266">
  <si>
    <t>Matriz Mapa de Riesgos</t>
  </si>
  <si>
    <r>
      <rPr>
        <sz val="10"/>
        <color theme="1"/>
        <rFont val="Arial Narrow"/>
        <family val="2"/>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Arial Narrow"/>
        <family val="2"/>
      </rPr>
      <t>Guía para la Administración del Riesgo y el diseño de controles V5</t>
    </r>
    <r>
      <rPr>
        <sz val="10"/>
        <color theme="1"/>
        <rFont val="Arial Narrow"/>
        <family val="2"/>
      </rPr>
      <t>. El formato cuenta con celdas parametrizadas y permite contar con los respectivos mapas de calor para riesgo inherente y riesgo residual.</t>
    </r>
  </si>
  <si>
    <t>Orientaciones Generales</t>
  </si>
  <si>
    <r>
      <rPr>
        <sz val="11"/>
        <color theme="1"/>
        <rFont val="Arial Narrow"/>
        <family val="2"/>
      </rPr>
      <t xml:space="preserve">Antes de iniciar con el diligenciamiento de la información en la matriz, se requiere haber avanzado en el análisis del </t>
    </r>
    <r>
      <rPr>
        <b/>
        <sz val="11"/>
        <color theme="1"/>
        <rFont val="Arial Narrow"/>
        <family val="2"/>
      </rPr>
      <t>proceso, su objetivo, alcance, actividades clave</t>
    </r>
    <r>
      <rPr>
        <sz val="11"/>
        <color theme="1"/>
        <rFont val="Arial Narrow"/>
        <family val="2"/>
      </rPr>
      <t xml:space="preserve">, considere los lineamientos establecidos en el </t>
    </r>
    <r>
      <rPr>
        <b/>
        <sz val="11"/>
        <color rgb="FFE36C09"/>
        <rFont val="Arial Narrow"/>
        <family val="2"/>
      </rPr>
      <t>Paso 2: identificación del riesgo</t>
    </r>
    <r>
      <rPr>
        <sz val="11"/>
        <color theme="1"/>
        <rFont val="Arial Narrow"/>
        <family val="2"/>
      </rPr>
      <t xml:space="preserve">, donde se explica ampliamente las bases para adelanter este análisis.
Así mismo, considere en el </t>
    </r>
    <r>
      <rPr>
        <b/>
        <sz val="11"/>
        <color rgb="FFE36C09"/>
        <rFont val="Arial Narrow"/>
        <family val="2"/>
      </rPr>
      <t>Paso 3: valoración del riesgo</t>
    </r>
    <r>
      <rPr>
        <sz val="11"/>
        <color theme="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family val="2"/>
      </rPr>
      <t>NOTA:</t>
    </r>
    <r>
      <rPr>
        <sz val="11"/>
        <color theme="1"/>
        <rFont val="Arial Narrow"/>
        <family val="2"/>
      </rPr>
      <t xml:space="preserve"> Si lo considera pertinente, es posible agregar hojas de trabajo adicionales al presente formato que permitan incluir la traza de estos análisis.</t>
    </r>
  </si>
  <si>
    <r>
      <rPr>
        <sz val="10"/>
        <color theme="1"/>
        <rFont val="Arial Narrow"/>
        <family val="2"/>
      </rPr>
      <t xml:space="preserve">El archivo contiene las siguientes hojas:
-   </t>
    </r>
    <r>
      <rPr>
        <b/>
        <sz val="11"/>
        <color theme="1"/>
        <rFont val="Arial Narrow"/>
        <family val="2"/>
      </rPr>
      <t>Hoja 1 Instructivo</t>
    </r>
    <r>
      <rPr>
        <sz val="10"/>
        <color theme="1"/>
        <rFont val="Arial Narrow"/>
        <family val="2"/>
      </rPr>
      <t xml:space="preserve">
 -  </t>
    </r>
    <r>
      <rPr>
        <b/>
        <sz val="11"/>
        <color theme="1"/>
        <rFont val="Arial Narrow"/>
        <family val="2"/>
      </rPr>
      <t xml:space="preserve">Hoja 2 Mapa Final: </t>
    </r>
    <r>
      <rPr>
        <sz val="10"/>
        <color theme="1"/>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</si>
  <si>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</si>
  <si>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</si>
  <si>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</si>
  <si>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</si>
  <si>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</si>
  <si>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</si>
  <si>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</si>
  <si>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</si>
  <si>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</si>
  <si>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</si>
  <si>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</si>
  <si>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</si>
  <si>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</si>
  <si>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</si>
  <si>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</si>
  <si>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</si>
  <si>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</si>
  <si>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Arial Narrow"/>
        <family val="2"/>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</si>
  <si>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</si>
  <si>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</si>
  <si>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</si>
  <si>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</si>
  <si>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</si>
  <si>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</si>
  <si>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</si>
  <si>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</si>
  <si>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</si>
  <si>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Arial Narrow"/>
        <family val="2"/>
      </rPr>
      <t xml:space="preserve">Recuerde que el control se define como la medida que permite reducir o mitigar un riesgo. Defina el control (es) que atacan la causa raíz del riesgo, considere la estructura explicada en la guía: </t>
    </r>
    <r>
      <rPr>
        <b/>
        <sz val="9"/>
        <color rgb="FFE36C09"/>
        <rFont val="Arial Narrow"/>
        <family val="2"/>
      </rPr>
      <t>Responsable de ejecutar el control + Acción + Complemento</t>
    </r>
  </si>
  <si>
    <t>Afectación</t>
  </si>
  <si>
    <t>Esta casilla no se diligencia, depende de la selección en la columna R.</t>
  </si>
  <si>
    <r>
      <rPr>
        <b/>
        <sz val="9"/>
        <color theme="1"/>
        <rFont val="Arial Narrow"/>
        <family val="2"/>
      </rPr>
      <t xml:space="preserve">ATRIBUTOS EFICIENCIA
</t>
    </r>
    <r>
      <rPr>
        <sz val="9"/>
        <color theme="1"/>
        <rFont val="Arial Narrow"/>
        <family val="2"/>
      </rPr>
      <t>Tipo</t>
    </r>
  </si>
  <si>
    <t>Utilice la lista de despligue que se encuentra parametrizada, le aparecerán las opciones: i)Preventivo, ii)Detectivo, iii)Correctivo.</t>
  </si>
  <si>
    <r>
      <rPr>
        <b/>
        <sz val="9"/>
        <color theme="1"/>
        <rFont val="Arial Narrow"/>
        <family val="2"/>
      </rPr>
      <t xml:space="preserve">ATRIBUTOS EFICIENCIA
</t>
    </r>
    <r>
      <rPr>
        <sz val="9"/>
        <color theme="1"/>
        <rFont val="Arial Narrow"/>
        <family val="2"/>
      </rPr>
      <t>Implementación</t>
    </r>
  </si>
  <si>
    <t>Utilice la lista de despligue que se encuentra parametrizada, le aparecerán las opciones: i)Automático, ii)Manual.</t>
  </si>
  <si>
    <r>
      <rPr>
        <b/>
        <sz val="9"/>
        <color theme="1"/>
        <rFont val="Arial Narrow"/>
        <family val="2"/>
      </rPr>
      <t xml:space="preserve">ATRIBUTOS EFICIENCIA
</t>
    </r>
    <r>
      <rPr>
        <sz val="9"/>
        <color theme="1"/>
        <rFont val="Arial Narrow"/>
        <family val="2"/>
      </rPr>
      <t>Implementación</t>
    </r>
  </si>
  <si>
    <r>
      <rPr>
        <b/>
        <sz val="9"/>
        <color theme="1"/>
        <rFont val="Arial Narrow"/>
        <family val="2"/>
      </rPr>
      <t xml:space="preserve">ATRIBUTOS EFICIENCIA
</t>
    </r>
    <r>
      <rPr>
        <sz val="9"/>
        <color theme="1"/>
        <rFont val="Arial Narrow"/>
        <family val="2"/>
      </rPr>
      <t>Calificación</t>
    </r>
  </si>
  <si>
    <t xml:space="preserve">La matriz automáticamente hará el cálculo para el control analizado (Columna T) </t>
  </si>
  <si>
    <r>
      <rPr>
        <b/>
        <sz val="9"/>
        <color theme="1"/>
        <rFont val="Arial Narrow"/>
        <family val="2"/>
      </rPr>
      <t xml:space="preserve">ATRIBUTOS INFORMATIVOS
</t>
    </r>
    <r>
      <rPr>
        <sz val="9"/>
        <color theme="1"/>
        <rFont val="Arial Narrow"/>
        <family val="2"/>
      </rPr>
      <t>Documentación</t>
    </r>
  </si>
  <si>
    <t>Utilice la lista de despligue que se encuentra parametrizada, le aparecerán las opciones: i)Documentado, ii)Sin documentar.</t>
  </si>
  <si>
    <r>
      <rPr>
        <b/>
        <sz val="9"/>
        <color theme="1"/>
        <rFont val="Arial Narrow"/>
        <family val="2"/>
      </rPr>
      <t xml:space="preserve">ATRIBUTOS INFORMATIVOS
</t>
    </r>
    <r>
      <rPr>
        <sz val="9"/>
        <color theme="1"/>
        <rFont val="Arial Narrow"/>
        <family val="2"/>
      </rPr>
      <t>Frecuencia</t>
    </r>
  </si>
  <si>
    <t>Utilice la lista de despligue que se encuentra parametrizada, le aparecerán las opciones: i)Continua, ii)Aleatoria.</t>
  </si>
  <si>
    <r>
      <rPr>
        <b/>
        <sz val="9"/>
        <color theme="1"/>
        <rFont val="Arial Narrow"/>
        <family val="2"/>
      </rPr>
      <t xml:space="preserve">ATRIBUTOS INFORMATIVOS
</t>
    </r>
    <r>
      <rPr>
        <sz val="9"/>
        <color theme="1"/>
        <rFont val="Arial Narrow"/>
        <family val="2"/>
      </rPr>
      <t>Registro</t>
    </r>
  </si>
  <si>
    <t>Utilice la lista de despligue que se encuentra parametrizada, le aparecerán las opciones: i)Con Registro, ii) Sin Registro.</t>
  </si>
  <si>
    <t>Evaluación del Nivel de Riesgo - Nivel de Riesgo Residual</t>
  </si>
  <si>
    <r>
      <rPr>
        <sz val="9"/>
        <color theme="1"/>
        <rFont val="Arial Narrow"/>
        <family val="2"/>
      </rPr>
      <t>La matriz automáticamente hará el cálculo, acorde con el control o controles definidos con sus atributos analizados, lo que permitirá establecer el</t>
    </r>
    <r>
      <rPr>
        <b/>
        <sz val="9"/>
        <color rgb="FFE36C09"/>
        <rFont val="Arial Narrow"/>
        <family val="2"/>
      </rPr>
      <t xml:space="preserve"> nivel de riesgo inherente</t>
    </r>
    <r>
      <rPr>
        <sz val="9"/>
        <color theme="1"/>
        <rFont val="Arial Narrow"/>
        <family val="2"/>
      </rPr>
      <t xml:space="preserve"> (Columnas Y- Z- AA -AB- AC).</t>
    </r>
  </si>
  <si>
    <t>Tratamiento</t>
  </si>
  <si>
    <t>Utilice la lista de despligue que se encuentra parametrizada, le aparecerán las opciones: i)Aceptar, ii)Evitar, iii)Reducir (compartir), iv)Reducir (mitigar).</t>
  </si>
  <si>
    <r>
      <rPr>
        <b/>
        <sz val="9"/>
        <color theme="1"/>
        <rFont val="Arial Narrow"/>
        <family val="2"/>
      </rPr>
      <t xml:space="preserve">Plan de Acción
</t>
    </r>
    <r>
      <rPr>
        <sz val="9"/>
        <color theme="1"/>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</si>
  <si>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</si>
  <si>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</si>
  <si>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</si>
  <si>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Arial Narrow"/>
        <family val="2"/>
      </rPr>
      <t xml:space="preserve"> -</t>
    </r>
    <r>
      <rPr>
        <sz val="11"/>
        <color theme="1"/>
        <rFont val="Arial Narrow"/>
        <family val="2"/>
      </rPr>
      <t xml:space="preserve"> </t>
    </r>
    <r>
      <rPr>
        <b/>
        <sz val="11"/>
        <color theme="1"/>
        <rFont val="Arial Narrow"/>
        <family val="2"/>
      </rPr>
      <t xml:space="preserve"> Hoja 3 Matriz de Calor Inherente: </t>
    </r>
    <r>
      <rPr>
        <sz val="11"/>
        <color theme="1"/>
        <rFont val="Arial Narrow"/>
        <family val="2"/>
      </rPr>
      <t xml:space="preserve"> 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</si>
  <si>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4 Matriz de Calor Residual: </t>
    </r>
    <r>
      <rPr>
        <sz val="11"/>
        <color theme="1"/>
        <rFont val="Arial Narrow"/>
        <family val="2"/>
      </rPr>
      <t>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</si>
  <si>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5 Tabla de probabilidad: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</si>
  <si>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6 Tabla de Impacto: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</si>
  <si>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7 Tabla de Valoración de Controles: </t>
    </r>
    <r>
      <rPr>
        <sz val="11"/>
        <color theme="1"/>
        <rFont val="Arial Narrow"/>
        <family val="2"/>
      </rPr>
      <t>Tabla referente para todos los cálculos (no se diligencia)</t>
    </r>
  </si>
  <si>
    <t xml:space="preserve">Formato Mapa Riesgos </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</si>
  <si>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</si>
  <si>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</si>
  <si>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</si>
  <si>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</si>
  <si>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</si>
  <si>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</si>
  <si>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</si>
  <si>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</si>
  <si>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</si>
  <si>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</si>
  <si>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</si>
  <si>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</si>
  <si>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</si>
  <si>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</si>
  <si>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</si>
  <si>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</si>
  <si>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</si>
  <si>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</si>
  <si>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</si>
  <si>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</si>
  <si>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</si>
  <si>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</si>
  <si>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</si>
  <si>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</si>
  <si>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</si>
  <si>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</si>
  <si>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</si>
  <si>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</si>
  <si>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</si>
  <si>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</si>
  <si>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</si>
  <si>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</si>
  <si>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</si>
  <si>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</si>
  <si>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</si>
  <si>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</si>
  <si>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</si>
  <si>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</si>
  <si>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</si>
  <si>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</si>
  <si>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</si>
  <si>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</si>
  <si>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</si>
  <si>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</si>
  <si>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</si>
  <si>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</si>
  <si>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</si>
  <si>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</si>
  <si>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</si>
  <si>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</si>
  <si>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</si>
  <si>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</si>
  <si>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</si>
  <si>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</si>
  <si>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</si>
  <si>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</si>
  <si>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</si>
  <si>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</si>
  <si>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</si>
  <si>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</si>
  <si>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</si>
  <si>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</si>
  <si>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</si>
  <si>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</si>
  <si>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</si>
  <si>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</si>
  <si>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</si>
  <si>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</si>
  <si>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</si>
  <si>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</si>
  <si>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</si>
  <si>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</si>
  <si>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</si>
  <si>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</si>
  <si>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</si>
  <si>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</si>
  <si>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</si>
  <si>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</si>
  <si>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</si>
  <si>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</si>
  <si>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</si>
  <si>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</si>
  <si>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</si>
  <si>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</si>
  <si>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</si>
  <si>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</si>
  <si>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</si>
  <si>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</si>
  <si>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</si>
  <si>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</si>
  <si>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</si>
  <si>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</si>
  <si>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</si>
  <si>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</si>
  <si>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</si>
  <si>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</si>
  <si>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</si>
  <si>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</si>
  <si>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</si>
  <si>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</si>
  <si>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</si>
  <si>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</si>
  <si>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</si>
  <si>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</si>
  <si>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</si>
  <si>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</si>
  <si>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</si>
  <si>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</si>
  <si>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</si>
  <si>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</si>
  <si>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</si>
  <si>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</si>
  <si>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</si>
  <si>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</si>
  <si>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</si>
  <si>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rgb="FFE36C09"/>
        <rFont val="Arial Narrow"/>
        <family val="2"/>
      </rPr>
      <t>*</t>
    </r>
    <r>
      <rPr>
        <b/>
        <sz val="12"/>
        <color rgb="FF000000"/>
        <rFont val="Arial Narrow"/>
        <family val="2"/>
      </rPr>
      <t>Atributos de</t>
    </r>
    <r>
      <rPr>
        <b/>
        <sz val="12"/>
        <color rgb="FFE36C09"/>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</si>
  <si>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</si>
  <si>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</si>
  <si>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</si>
  <si>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</si>
  <si>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</si>
  <si>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</si>
  <si>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</si>
  <si>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</si>
  <si>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</si>
  <si>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</si>
  <si>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</si>
  <si>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</si>
  <si>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</si>
  <si>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rgb="FFE36C09"/>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</si>
  <si>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</si>
  <si>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</si>
  <si>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</si>
  <si>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</si>
  <si>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</si>
  <si>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</si>
  <si>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</si>
  <si>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</si>
  <si>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</si>
  <si>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</si>
  <si>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</si>
  <si>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</si>
  <si>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</si>
  <si>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</si>
  <si>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</si>
  <si>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</si>
  <si>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</si>
  <si>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</si>
  <si>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</si>
  <si>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</si>
  <si>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</si>
  <si>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Proceso/Subproceso:</t>
  </si>
  <si>
    <t>El riesgo afecta la imagen  de la entidad con efecto publicitario sostenido a nivel de sector administrativo, nivel departamental o municipal</t>
  </si>
  <si>
    <t>El riesgo afecta la imagen de la entidad con algunas partes interesadas de relevancia frente al logro de los objetivos</t>
  </si>
  <si>
    <r>
      <rPr>
        <b/>
        <sz val="11"/>
        <color rgb="FFE36C09"/>
        <rFont val="Century Gothic"/>
        <family val="2"/>
      </rPr>
      <t xml:space="preserve">*Nota: </t>
    </r>
    <r>
      <rPr>
        <sz val="11"/>
        <color theme="1"/>
        <rFont val="Century Gothic"/>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</si>
  <si>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FECHA</t>
  </si>
  <si>
    <t>VERSIÓN</t>
  </si>
  <si>
    <t>CÓDIGO</t>
  </si>
  <si>
    <t>PÁGINA</t>
  </si>
  <si>
    <t>MAPA DE RIESGOS DE GESTIÓN</t>
  </si>
  <si>
    <t>PE-F-055</t>
  </si>
  <si>
    <t>de</t>
  </si>
  <si>
    <t>PROCESO PLANEACIÓN ESTRATÉGICA</t>
  </si>
  <si>
    <t>NOMBRE DE FORMATO:</t>
  </si>
  <si>
    <r>
      <t>1.</t>
    </r>
    <r>
      <rPr>
        <b/>
        <sz val="7"/>
        <color theme="1"/>
        <rFont val="Times New Roman"/>
        <family val="1"/>
      </rPr>
      <t xml:space="preserve">    </t>
    </r>
    <r>
      <rPr>
        <b/>
        <sz val="11"/>
        <color theme="1"/>
        <rFont val="Century Gothic"/>
        <family val="2"/>
      </rPr>
      <t>CONTROL DE CAMBIOS</t>
    </r>
  </si>
  <si>
    <t>No. REVISIÓN</t>
  </si>
  <si>
    <t>DESCRIPCIÓN DE LA MODIFICACIÓN</t>
  </si>
  <si>
    <t>FECHA DE APROBACIÓN</t>
  </si>
  <si>
    <t>VERSIÓN ACTUALIZADA</t>
  </si>
  <si>
    <t>Elaborado por:</t>
  </si>
  <si>
    <t>Revisado por:</t>
  </si>
  <si>
    <t>Aprobado por:</t>
  </si>
  <si>
    <t>Maria Alejandra Egas</t>
  </si>
  <si>
    <t>Wilson Alexander Checa</t>
  </si>
  <si>
    <t>Marcela Sofia Peña Tupaz</t>
  </si>
  <si>
    <t>Contratista MIPG</t>
  </si>
  <si>
    <t>Coordinador Contratista MIPG</t>
  </si>
  <si>
    <t>Líder Proceso de Planeación Estrategica</t>
  </si>
  <si>
    <t>Zona de Riesgo Control</t>
  </si>
  <si>
    <t>02</t>
  </si>
  <si>
    <t>GESTIÓN JURÍDICA</t>
  </si>
  <si>
    <t xml:space="preserve">Gestionar la defensa jurídica y mejora normativa del Municipio de Pasto brindando los lineamientos generales para la prevención del daño antijuridico, la evaluación del riesgo, la adopción e implementación de herramientas y buenas prácticas regulatorias, con el fin de lograr la disminución de demandas interpuestas en contra de la entidad, la reducción de condenas y el pago de las mismas, reducir el daño antijurídico, mejorar la defensa y recuperar los fondos y para que las normas de carácter general expedidas por la administración municipal, revistan de parámetros de calidad técnica y jurídica y resulten eficaces, eficientes, transparentes, coherentes y simples.    
</t>
  </si>
  <si>
    <t xml:space="preserve">Inicia con la radicación de las peticiones, quejas, reclamos, denuncias, querellas, proyectos de actos administrativos, solicitudes de actas de nacionalización, posesión de jueces, informes, actas, admisión de demandas, solicitudes de conciliación, entre otros. Encaminadas a la prevención del daño antijurídico a través de la implementación de las actuaciones prejudiciales, defensa judicial, cumplimiento y pago de sentencias, acciones de repetición y recuperación del recursos públicos bajo parámetros de calidad técnica y jurídica; hasta la decisión, acto administrativo, actuación prejudicial, judicial, fallo de primera o segunda instancia en cumplimiento de las decisiones judiciales, pago de costas, acto administrativo de reconocimiento y pago de sentencias o conciliaciones, acuerdo de pago, certificado del comité de conciliación, acción de repetición, concepto jurídico, circular, respuesta,  posesión, actas de nacionalización, según el caso.
APLICA PARA: Defensa extrajudicial; defensa judicial (acciones constitucionales de tutela, instauración de denuncias o querellas), cumplimiento de sentencias; cobro de costas; acciones de repetición; ciclo de gobernanza regulatoria (consulta pública, revisión de documentos y actos administrativos, planeación de agenda regulatoria, unidad técnica de mejora regulatoria) solicitudes. 
</t>
  </si>
  <si>
    <t>Inapropiada revisión de los términos procesales</t>
  </si>
  <si>
    <t>Incumplimiento de términos de las etapas procesales previstas, contabilización de términos errónea, notificaciones indebidas, Inadecuada, debil o inoportuna defensa del Municipio de Pasto</t>
  </si>
  <si>
    <t>Posibilidad de pérdida reputacional y económica, investigaciones y sanciones de la Oficina de Control Interno Disciplinario y de entes de control, debido al incumplimiento de términos de las etapas procesales, Inadecuada, argumentaciòn insuficiente debil o inoportuna defensa del Municipio de Pasto, previstas en la ley 1437 de 2011 (CPACA), ley 1564 de  2012 (CGP), decreto ley  2158 de  1948 (CPTS), ley 906 de 2004 (CPP) y demás normas concordantes, contabilización de términos errónea, notificaciones indebidas, que conllevarían a fallos desfavorables en procesos judiciales.</t>
  </si>
  <si>
    <t xml:space="preserve">Los apoderados judiciales y el dependiente judicial realizan revisión diaria de los procesos judiciales y sus actuaciones, contabilización de términos, registro del ultimo plazo para dar tramite al requerimiento, fijación de términos dispuestos en la normatividad vigente en el calendario de los despachos judiciales, los procesos judiciales y sus actuaciones, a traves de ESTADOS ELECTRONICOS, de la plataforma Samai o Pagina de la Rama Judicial </t>
  </si>
  <si>
    <t>El dependiente judicial revisa diariamente la página de la rama judicial, del Consejo de Estado y el correo electrónico de la OAJD, las comunicaciones allegadas por los juzgados, las imprime y notifica al apoderado judicial de la actuación presentada, a su vez las notifica a través del correo electrónico a los apoderados, y se lleva el control físico de las actuaciones mediante el diligenciamiento de  de las actuaciones en la AGENDA ELECTRONICA en google calendario.</t>
  </si>
  <si>
    <t>Jefe Oficina Jurídica de Despacho</t>
  </si>
  <si>
    <t xml:space="preserve">Realizar un analisis de impacto referente al incumplimiento del termino judicial y deberá adelantar un plan especifico para el proceso, en el cual se detalle si existe o no posibilidad de desarrollar acciones correctivas frente al proceso. </t>
  </si>
  <si>
    <t>Deficiente, indebida o falta de recepción de las PQRSD</t>
  </si>
  <si>
    <t>Inoportuna asignaciòn a los abogados las diversas PQRSD, Incumplimiento de términos en la contestación de PQRD, solicitudes y requerimientos o informes de entes de control</t>
  </si>
  <si>
    <t>Posibilidad de pérdida reputacion por incumplimiento en los términos de contestación de PQRD, inoportuna gestión o negligencia a solicitudes y requerimientos o informes de entes de control que conllevarían a fallos desfavorables en procesos judiciales.</t>
  </si>
  <si>
    <t xml:space="preserve">Ineficaz estudio de los actos administrativos </t>
  </si>
  <si>
    <t>Deficiente revisión de los actos administrativos a suscribir por el señor alcalde que conllevarían a posteriores demandas en contra del Municipio de Pasto.</t>
  </si>
  <si>
    <t xml:space="preserve">Posibilidad de pérdida reputacional y economicas por investigaciones y sanciones de la Oficina de Control Interno Disciplinario y de entes de control, debido a la inadecuada revisión de los actos administrativos a suscribir por el señor Alcalde que conllevarían a posteriores demandas en contra del Municipio de Pasto </t>
  </si>
  <si>
    <t>Realizar un analisis en cuanto a la normatividad que se aplicó en el acto administrativo y se deberá realizar una actualización en cuanto a la normatividad aplicable</t>
  </si>
  <si>
    <t>BIMENSUAL</t>
  </si>
  <si>
    <t>CUATRIMESTRAL</t>
  </si>
  <si>
    <t xml:space="preserve">El dependiente judicial y/o contratista de la OAJD realizan el seguimiento y actualización de las actuaciones registradas, términos y audiencias llevadas a cabo en cada proceso judicial mediante el diligenciamiento de la MATRIZ DE CONTROL DE PROCESOS JUDICIALES de google drive, de manera diaria o cada vez que se allegue un asunto que conlleve a la actualización de la misma. </t>
  </si>
  <si>
    <t>El/ la contratista radica diariamente en MATRIZ DE PQRD - Google Drive , los asuntos que requieran contestación o tramite en la OAJD y entrarán a reparto para ser asignadas al servidor público (funcionario o contratista) de la OAJD que tenga la función y/o obligación de proyectar respuesta o dar tramite al requerimiento, solicitud o PQRD, realizá la contabilización de términos para revisión y/o diligenciamiento de los diferentes asuntos a tramitar, para lo cual registra la fecha en que se allega la solicitud a la OAJD y la fecha de absolverse el asunto en la matriz PQRD. En caso de algún cambio referente al estado de la PQRD, solicitud e informe registra en la matriz en mención.</t>
  </si>
  <si>
    <t xml:space="preserve">La jefe de la OAJD realiza constante supervisión de actividades y funciones al servidor público (funcionario o contratista) de la oficina, referente a la respuesta de PQRD, solicitudes e informes o requerimientos de entes de control dentro del término legal vigente, mediante la REVISIÓN Y POSTERIOR SUSCRIPCIÓN DE FIRMA en el respectivo oficio de remisión y mediante informes de actividades de manera mensual </t>
  </si>
  <si>
    <t xml:space="preserve">El/ la contratista radica en MATRIZ PQRD - Google Drive, los actos administrativos que requieren revisiòn y entrarán a reparto para ser asignadas al servidor público (funcionario o contratista) de la OAJD que tenga la función y/o obligación de la revisión, en la matriz en mención se registra la fecha en la cual se allegó a la OAJD para su revisión, el estado de la respuesta el cual puede ser  "en revisión" "devuelto a la dependencia"  "se pasa visto bueno para firma" y la fecha de la respuesta , siempre que exista requerimiento o solicitud de revisión de alguna dependencia abscrita a la Alcaldia Municipal de Pasto.  </t>
  </si>
  <si>
    <t xml:space="preserve">El funcionario o contratista de la OAJD suscribe su firma en el proyecto de acto administrativo y remite el mismo para revisión del jefe la OAJD, quien también realiza la respectiva revisión del proyecto de acto administrativo y suscribe la firma y se procede a la firma del señor Alcalde, se registra el documento en el libro de registro, donde deja constancia del asunto del acto administrativo y se remite el mismo a la oficina del despacho, donde se enumera y emite de manera formal el acto administrativo para su publicación y/o comunicación. LIBRO RADICADOR DE SALIDA, siempre que exista acto administrativo que se requiera para su  radicación.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</si>
</sst>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yyyy"/>
  </numFmts>
  <fonts count="69" x14ac:knownFonts="1">
    <font>
      <sz val="11"/>
      <color theme="1"/>
      <name val="Arial"/>
    </font>
    <font>
      <sz val="11"/>
      <color theme="1"/>
      <name val="Calibri"/>
      <family val="2"/>
    </font>
    <font>
      <b/>
      <sz val="14"/>
      <color theme="1"/>
      <name val="Arial Narrow"/>
      <family val="2"/>
    </font>
    <font>
      <sz val="11"/>
      <name val="Arial"/>
      <family val="2"/>
    </font>
    <font>
      <sz val="10"/>
      <color theme="1"/>
      <name val="Arial Narrow"/>
      <family val="2"/>
    </font>
    <font>
      <b/>
      <u/>
      <sz val="11"/>
      <color theme="1"/>
      <name val="Arial Narrow"/>
      <family val="2"/>
    </font>
    <font>
      <sz val="11"/>
      <color theme="1"/>
      <name val="Arial Narrow"/>
      <family val="2"/>
    </font>
    <font>
      <b/>
      <u/>
      <sz val="11"/>
      <color theme="1"/>
      <name val="Arial Narrow"/>
      <family val="2"/>
    </font>
    <font>
      <b/>
      <sz val="11"/>
      <color theme="1"/>
      <name val="Arial Narrow"/>
      <family val="2"/>
    </font>
    <font>
      <b/>
      <sz val="10"/>
      <color theme="1"/>
      <name val="Arial Narrow"/>
      <family val="2"/>
    </font>
    <font>
      <b/>
      <sz val="9"/>
      <color theme="1"/>
      <name val="Arial Narrow"/>
      <family val="2"/>
    </font>
    <font>
      <sz val="9"/>
      <color theme="1"/>
      <name val="Arial Narrow"/>
      <family val="2"/>
    </font>
    <font>
      <b/>
      <sz val="22"/>
      <color theme="1"/>
      <name val="Arial Narrow"/>
      <family val="2"/>
    </font>
    <font>
      <b/>
      <sz val="18"/>
      <color theme="1"/>
      <name val="Arial Narrow"/>
      <family val="2"/>
    </font>
    <font>
      <b/>
      <sz val="40"/>
      <color rgb="FF000000"/>
      <name val="Calibri"/>
      <family val="2"/>
    </font>
    <font>
      <sz val="28"/>
      <color theme="1"/>
      <name val="Calibri"/>
      <family val="2"/>
    </font>
    <font>
      <b/>
      <sz val="28"/>
      <color rgb="FF000000"/>
      <name val="Calibri"/>
      <family val="2"/>
    </font>
    <font>
      <b/>
      <sz val="36"/>
      <color rgb="FF000000"/>
      <name val="Calibri"/>
      <family val="2"/>
    </font>
    <font>
      <sz val="24"/>
      <color theme="1"/>
      <name val="Arial Narrow"/>
      <family val="2"/>
    </font>
    <font>
      <b/>
      <sz val="20"/>
      <color theme="1"/>
      <name val="Calibri"/>
      <family val="2"/>
    </font>
    <font>
      <b/>
      <sz val="12"/>
      <color rgb="FF000000"/>
      <name val="Calibri"/>
      <family val="2"/>
    </font>
    <font>
      <b/>
      <sz val="24"/>
      <color rgb="FF000000"/>
      <name val="Calibri"/>
      <family val="2"/>
    </font>
    <font>
      <b/>
      <sz val="18"/>
      <color rgb="FF000000"/>
      <name val="Calibri"/>
      <family val="2"/>
    </font>
    <font>
      <sz val="18"/>
      <color theme="1"/>
      <name val="Arial"/>
      <family val="2"/>
    </font>
    <font>
      <b/>
      <sz val="20"/>
      <color rgb="FF000000"/>
      <name val="Arial Narrow"/>
      <family val="2"/>
    </font>
    <font>
      <sz val="20"/>
      <color rgb="FF000000"/>
      <name val="Arial Narrow"/>
      <family val="2"/>
    </font>
    <font>
      <sz val="20"/>
      <color rgb="FFFFFFFF"/>
      <name val="Arial Narrow"/>
      <family val="2"/>
    </font>
    <font>
      <b/>
      <sz val="26"/>
      <color theme="1"/>
      <name val="Arial Narrow"/>
      <family val="2"/>
    </font>
    <font>
      <sz val="24"/>
      <color theme="1"/>
      <name val="Arial"/>
      <family val="2"/>
    </font>
    <font>
      <b/>
      <sz val="24"/>
      <color rgb="FF000000"/>
      <name val="Arial Narrow"/>
      <family val="2"/>
    </font>
    <font>
      <sz val="11"/>
      <color theme="0"/>
      <name val="Calibri"/>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16"/>
      <color rgb="FFFF0000"/>
      <name val="Calibri"/>
      <family val="2"/>
    </font>
    <font>
      <sz val="11"/>
      <color theme="1"/>
      <name val="Calibri"/>
      <family val="2"/>
    </font>
    <font>
      <sz val="11"/>
      <color rgb="FFFF0000"/>
      <name val="Calibri"/>
      <family val="2"/>
    </font>
    <font>
      <sz val="11"/>
      <color rgb="FF030303"/>
      <name val="Arial"/>
      <family val="2"/>
    </font>
    <font>
      <sz val="10"/>
      <color theme="1"/>
      <name val="Calibri"/>
      <family val="2"/>
    </font>
    <font>
      <b/>
      <sz val="14"/>
      <color rgb="FF000000"/>
      <name val="Arial Narrow"/>
      <family val="2"/>
    </font>
    <font>
      <sz val="12"/>
      <color theme="1"/>
      <name val="Calibri"/>
      <family val="2"/>
    </font>
    <font>
      <b/>
      <sz val="12"/>
      <color rgb="FF000000"/>
      <name val="Arial Narrow"/>
      <family val="2"/>
    </font>
    <font>
      <sz val="12"/>
      <color rgb="FF000000"/>
      <name val="Arial Narrow"/>
      <family val="2"/>
    </font>
    <font>
      <sz val="12"/>
      <color theme="1"/>
      <name val="Arial Narrow"/>
      <family val="2"/>
    </font>
    <font>
      <sz val="10"/>
      <color rgb="FF000000"/>
      <name val="Arial Narrow"/>
      <family val="2"/>
    </font>
    <font>
      <b/>
      <sz val="10"/>
      <color rgb="FFE36C09"/>
      <name val="Arial Narrow"/>
      <family val="2"/>
    </font>
    <font>
      <b/>
      <sz val="11"/>
      <color rgb="FFE36C09"/>
      <name val="Arial Narrow"/>
      <family val="2"/>
    </font>
    <font>
      <b/>
      <sz val="9"/>
      <color rgb="FFE36C09"/>
      <name val="Arial Narrow"/>
      <family val="2"/>
    </font>
    <font>
      <b/>
      <sz val="12"/>
      <color rgb="FFE36C09"/>
      <name val="Arial Narrow"/>
      <family val="2"/>
    </font>
    <font>
      <b/>
      <sz val="11"/>
      <color theme="1"/>
      <name val="Century Gothic"/>
      <family val="2"/>
    </font>
    <font>
      <sz val="11"/>
      <color theme="1"/>
      <name val="Century Gothic"/>
      <family val="2"/>
    </font>
    <font>
      <sz val="11"/>
      <name val="Century Gothic"/>
      <family val="2"/>
    </font>
    <font>
      <b/>
      <sz val="11"/>
      <color rgb="FFE36C09"/>
      <name val="Century Gothic"/>
      <family val="2"/>
    </font>
    <font>
      <b/>
      <sz val="10"/>
      <color theme="1"/>
      <name val="Century Gothic"/>
      <family val="2"/>
    </font>
    <font>
      <sz val="8"/>
      <color theme="1"/>
      <name val="Century Gothic"/>
      <family val="2"/>
    </font>
    <font>
      <b/>
      <sz val="12"/>
      <color theme="1"/>
      <name val="Century Gothic"/>
      <family val="2"/>
    </font>
    <font>
      <b/>
      <sz val="18"/>
      <color theme="1"/>
      <name val="Century Gothic"/>
      <family val="2"/>
    </font>
    <font>
      <sz val="18"/>
      <color theme="1"/>
      <name val="Century Gothic"/>
      <family val="2"/>
    </font>
    <font>
      <sz val="9"/>
      <color theme="1"/>
      <name val="Century Gothic"/>
      <family val="2"/>
    </font>
    <font>
      <sz val="12"/>
      <color theme="1"/>
      <name val="Century Gothic"/>
      <family val="2"/>
    </font>
    <font>
      <b/>
      <sz val="7"/>
      <color theme="1"/>
      <name val="Times New Roman"/>
      <family val="1"/>
    </font>
    <font>
      <sz val="11"/>
      <color theme="1"/>
      <name val="Arial Narrow"/>
    </font>
    <font>
      <b/>
      <sz val="11"/>
      <color theme="1"/>
      <name val="Arial Narrow"/>
    </font>
    <font>
      <sz val="14"/>
      <color theme="1"/>
      <name val="Century Gothic"/>
      <family val="2"/>
    </font>
    <font>
      <sz val="10"/>
      <color theme="1"/>
      <name val="Century Gothic"/>
      <family val="2"/>
    </font>
    <font>
      <sz val="14"/>
      <color theme="1"/>
      <name val="Arial Narrow"/>
    </font>
    <font>
      <sz val="11"/>
      <name val="Calibri"/>
    </font>
    <font>
      <sz val="11"/>
      <color theme="1"/>
      <name val="Century Gothic"/>
    </font>
  </fonts>
  <fills count="18">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FBD4B4"/>
        <bgColor rgb="FFFBD4B4"/>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
      <patternFill patternType="solid">
        <fgColor rgb="FFFFFF00"/>
        <bgColor indexed="64"/>
      </patternFill>
    </fill>
    <fill>
      <patternFill patternType="solid">
        <fgColor theme="0"/>
        <bgColor indexed="64"/>
      </patternFill>
    </fill>
  </fills>
  <borders count="132">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rgb="FF000000"/>
      </left>
      <right/>
      <top/>
      <bottom/>
      <diagonal/>
    </border>
    <border>
      <left/>
      <right style="medium">
        <color rgb="FF000000"/>
      </right>
      <top/>
      <bottom/>
      <diagonal/>
    </border>
    <border>
      <left style="medium">
        <color theme="0"/>
      </left>
      <right/>
      <top/>
      <bottom/>
      <diagonal/>
    </border>
    <border>
      <left/>
      <right style="medium">
        <color theme="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style="dotted">
        <color rgb="FFE36C09"/>
      </right>
      <top/>
      <bottom style="dotted">
        <color rgb="FFE36C0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style="dotted">
        <color rgb="FFE36C09"/>
      </right>
      <top style="dotted">
        <color rgb="FFE36C09"/>
      </top>
      <bottom style="dotted">
        <color rgb="FFE36C09"/>
      </bottom>
      <diagonal/>
    </border>
    <border>
      <left/>
      <right style="dotted">
        <color rgb="FFE36C09"/>
      </right>
      <top/>
      <bottom style="dotted">
        <color rgb="FFE36C09"/>
      </bottom>
      <diagonal/>
    </border>
    <border>
      <left/>
      <right style="thin">
        <color indexed="64"/>
      </right>
      <top style="thin">
        <color indexed="64"/>
      </top>
      <bottom style="thin">
        <color indexed="64"/>
      </bottom>
      <diagonal/>
    </border>
  </borders>
  <cellStyleXfs count="1">
    <xf numFmtId="0" fontId="0" fillId="0" borderId="0"/>
  </cellStyleXfs>
  <cellXfs count="344">
    <xf numFmtId="0" fontId="0" fillId="0" borderId="0" xfId="0"/>
    <xf numFmtId="0" fontId="1" fillId="2" borderId="1"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7" fillId="2" borderId="19"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0" xfId="0" applyFont="1" applyFill="1" applyBorder="1" applyAlignment="1">
      <alignment horizontal="left" vertical="top" wrapText="1"/>
    </xf>
    <xf numFmtId="0" fontId="4" fillId="2" borderId="19"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0" xfId="0" applyFont="1" applyFill="1" applyBorder="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20" fillId="7" borderId="75" xfId="0" applyFont="1" applyFill="1" applyBorder="1" applyAlignment="1">
      <alignment horizontal="center" vertical="center" wrapText="1" readingOrder="1"/>
    </xf>
    <xf numFmtId="0" fontId="20" fillId="7" borderId="76" xfId="0" applyFont="1" applyFill="1" applyBorder="1" applyAlignment="1">
      <alignment horizontal="center" vertical="center" wrapText="1" readingOrder="1"/>
    </xf>
    <xf numFmtId="0" fontId="20" fillId="7" borderId="77" xfId="0" applyFont="1" applyFill="1" applyBorder="1" applyAlignment="1">
      <alignment horizontal="center" vertical="center" wrapText="1" readingOrder="1"/>
    </xf>
    <xf numFmtId="0" fontId="20" fillId="8" borderId="75" xfId="0" applyFont="1" applyFill="1" applyBorder="1" applyAlignment="1">
      <alignment horizontal="center" wrapText="1" readingOrder="1"/>
    </xf>
    <xf numFmtId="0" fontId="20" fillId="8" borderId="76" xfId="0" applyFont="1" applyFill="1" applyBorder="1" applyAlignment="1">
      <alignment horizontal="center" wrapText="1" readingOrder="1"/>
    </xf>
    <xf numFmtId="0" fontId="20" fillId="8" borderId="77" xfId="0" applyFont="1" applyFill="1" applyBorder="1" applyAlignment="1">
      <alignment horizontal="center" wrapText="1" readingOrder="1"/>
    </xf>
    <xf numFmtId="0" fontId="20" fillId="7" borderId="19" xfId="0" applyFont="1" applyFill="1" applyBorder="1" applyAlignment="1">
      <alignment horizontal="center" vertical="center" wrapText="1" readingOrder="1"/>
    </xf>
    <xf numFmtId="0" fontId="20" fillId="7" borderId="1" xfId="0" applyFont="1" applyFill="1" applyBorder="1" applyAlignment="1">
      <alignment horizontal="center" vertical="center" wrapText="1" readingOrder="1"/>
    </xf>
    <xf numFmtId="0" fontId="20" fillId="7" borderId="20" xfId="0" applyFont="1" applyFill="1" applyBorder="1" applyAlignment="1">
      <alignment horizontal="center" vertical="center" wrapText="1" readingOrder="1"/>
    </xf>
    <xf numFmtId="0" fontId="20" fillId="8" borderId="19" xfId="0" applyFont="1" applyFill="1" applyBorder="1" applyAlignment="1">
      <alignment horizontal="center" wrapText="1" readingOrder="1"/>
    </xf>
    <xf numFmtId="0" fontId="20" fillId="8" borderId="1" xfId="0" applyFont="1" applyFill="1" applyBorder="1" applyAlignment="1">
      <alignment horizontal="center" wrapText="1" readingOrder="1"/>
    </xf>
    <xf numFmtId="0" fontId="20" fillId="8" borderId="20" xfId="0" applyFont="1" applyFill="1" applyBorder="1" applyAlignment="1">
      <alignment horizontal="center" wrapText="1" readingOrder="1"/>
    </xf>
    <xf numFmtId="0" fontId="20" fillId="7" borderId="40" xfId="0" applyFont="1" applyFill="1" applyBorder="1" applyAlignment="1">
      <alignment horizontal="center" vertical="center" wrapText="1" readingOrder="1"/>
    </xf>
    <xf numFmtId="0" fontId="20" fillId="7" borderId="41" xfId="0" applyFont="1" applyFill="1" applyBorder="1" applyAlignment="1">
      <alignment horizontal="center" vertical="center" wrapText="1" readingOrder="1"/>
    </xf>
    <xf numFmtId="0" fontId="20" fillId="7" borderId="42" xfId="0" applyFont="1" applyFill="1" applyBorder="1" applyAlignment="1">
      <alignment horizontal="center" vertical="center" wrapText="1" readingOrder="1"/>
    </xf>
    <xf numFmtId="0" fontId="20" fillId="8" borderId="40" xfId="0" applyFont="1" applyFill="1" applyBorder="1" applyAlignment="1">
      <alignment horizontal="center" wrapText="1" readingOrder="1"/>
    </xf>
    <xf numFmtId="0" fontId="20" fillId="8" borderId="41" xfId="0" applyFont="1" applyFill="1" applyBorder="1" applyAlignment="1">
      <alignment horizontal="center" wrapText="1" readingOrder="1"/>
    </xf>
    <xf numFmtId="0" fontId="20" fillId="8" borderId="42" xfId="0" applyFont="1" applyFill="1" applyBorder="1" applyAlignment="1">
      <alignment horizontal="center" wrapText="1" readingOrder="1"/>
    </xf>
    <xf numFmtId="0" fontId="20" fillId="9" borderId="75" xfId="0" applyFont="1" applyFill="1" applyBorder="1" applyAlignment="1">
      <alignment horizontal="center" wrapText="1" readingOrder="1"/>
    </xf>
    <xf numFmtId="0" fontId="20" fillId="9" borderId="76" xfId="0" applyFont="1" applyFill="1" applyBorder="1" applyAlignment="1">
      <alignment horizontal="center" wrapText="1" readingOrder="1"/>
    </xf>
    <xf numFmtId="0" fontId="20" fillId="9" borderId="77" xfId="0" applyFont="1" applyFill="1" applyBorder="1" applyAlignment="1">
      <alignment horizontal="center" wrapText="1" readingOrder="1"/>
    </xf>
    <xf numFmtId="0" fontId="20" fillId="9" borderId="19" xfId="0" applyFont="1" applyFill="1" applyBorder="1" applyAlignment="1">
      <alignment horizontal="center" wrapText="1" readingOrder="1"/>
    </xf>
    <xf numFmtId="0" fontId="20" fillId="9" borderId="1" xfId="0" applyFont="1" applyFill="1" applyBorder="1" applyAlignment="1">
      <alignment horizontal="center" wrapText="1" readingOrder="1"/>
    </xf>
    <xf numFmtId="0" fontId="20" fillId="9" borderId="20" xfId="0" applyFont="1" applyFill="1" applyBorder="1" applyAlignment="1">
      <alignment horizontal="center" wrapText="1" readingOrder="1"/>
    </xf>
    <xf numFmtId="0" fontId="20" fillId="9" borderId="40" xfId="0" applyFont="1" applyFill="1" applyBorder="1" applyAlignment="1">
      <alignment horizontal="center" wrapText="1" readingOrder="1"/>
    </xf>
    <xf numFmtId="0" fontId="20" fillId="9" borderId="41" xfId="0" applyFont="1" applyFill="1" applyBorder="1" applyAlignment="1">
      <alignment horizontal="center" wrapText="1" readingOrder="1"/>
    </xf>
    <xf numFmtId="0" fontId="20" fillId="9" borderId="42" xfId="0" applyFont="1" applyFill="1" applyBorder="1" applyAlignment="1">
      <alignment horizontal="center" wrapText="1" readingOrder="1"/>
    </xf>
    <xf numFmtId="0" fontId="20" fillId="10" borderId="75" xfId="0" applyFont="1" applyFill="1" applyBorder="1" applyAlignment="1">
      <alignment horizontal="center" wrapText="1" readingOrder="1"/>
    </xf>
    <xf numFmtId="0" fontId="20" fillId="10" borderId="76" xfId="0" applyFont="1" applyFill="1" applyBorder="1" applyAlignment="1">
      <alignment horizontal="center" wrapText="1" readingOrder="1"/>
    </xf>
    <xf numFmtId="0" fontId="20" fillId="10" borderId="77" xfId="0" applyFont="1" applyFill="1" applyBorder="1" applyAlignment="1">
      <alignment horizontal="center" wrapText="1" readingOrder="1"/>
    </xf>
    <xf numFmtId="0" fontId="20" fillId="10" borderId="19" xfId="0" applyFont="1" applyFill="1" applyBorder="1" applyAlignment="1">
      <alignment horizontal="center" wrapText="1" readingOrder="1"/>
    </xf>
    <xf numFmtId="0" fontId="20" fillId="10" borderId="1" xfId="0" applyFont="1" applyFill="1" applyBorder="1" applyAlignment="1">
      <alignment horizontal="center" wrapText="1" readingOrder="1"/>
    </xf>
    <xf numFmtId="0" fontId="20" fillId="10" borderId="20" xfId="0" applyFont="1" applyFill="1" applyBorder="1" applyAlignment="1">
      <alignment horizontal="center" wrapText="1" readingOrder="1"/>
    </xf>
    <xf numFmtId="0" fontId="20" fillId="10" borderId="40" xfId="0" applyFont="1" applyFill="1" applyBorder="1" applyAlignment="1">
      <alignment horizontal="center" wrapText="1" readingOrder="1"/>
    </xf>
    <xf numFmtId="0" fontId="20" fillId="10" borderId="41" xfId="0" applyFont="1" applyFill="1" applyBorder="1" applyAlignment="1">
      <alignment horizontal="center" wrapText="1" readingOrder="1"/>
    </xf>
    <xf numFmtId="0" fontId="20" fillId="10" borderId="42" xfId="0" applyFont="1" applyFill="1" applyBorder="1" applyAlignment="1">
      <alignment horizontal="center" wrapText="1" readingOrder="1"/>
    </xf>
    <xf numFmtId="0" fontId="22" fillId="9" borderId="76" xfId="0" applyFont="1" applyFill="1" applyBorder="1" applyAlignment="1">
      <alignment horizontal="center" wrapText="1" readingOrder="1"/>
    </xf>
    <xf numFmtId="0" fontId="23" fillId="0" borderId="0" xfId="0" applyFont="1" applyAlignment="1">
      <alignment horizontal="center" vertical="center" wrapText="1"/>
    </xf>
    <xf numFmtId="0" fontId="24" fillId="11" borderId="1" xfId="0" applyFont="1" applyFill="1" applyBorder="1" applyAlignment="1">
      <alignment horizontal="center" vertical="center" wrapText="1" readingOrder="1"/>
    </xf>
    <xf numFmtId="0" fontId="25" fillId="10" borderId="78" xfId="0" applyFont="1" applyFill="1" applyBorder="1" applyAlignment="1">
      <alignment horizontal="center" vertical="center" wrapText="1" readingOrder="1"/>
    </xf>
    <xf numFmtId="0" fontId="25" fillId="0" borderId="79" xfId="0" applyFont="1" applyBorder="1" applyAlignment="1">
      <alignment horizontal="left" vertical="center" wrapText="1" readingOrder="1"/>
    </xf>
    <xf numFmtId="9" fontId="25" fillId="0" borderId="79" xfId="0" applyNumberFormat="1" applyFont="1" applyBorder="1" applyAlignment="1">
      <alignment horizontal="center" vertical="center" wrapText="1" readingOrder="1"/>
    </xf>
    <xf numFmtId="0" fontId="25" fillId="12" borderId="80" xfId="0" applyFont="1" applyFill="1" applyBorder="1" applyAlignment="1">
      <alignment horizontal="center" vertical="center" wrapText="1" readingOrder="1"/>
    </xf>
    <xf numFmtId="0" fontId="25" fillId="0" borderId="80" xfId="0" applyFont="1" applyBorder="1" applyAlignment="1">
      <alignment horizontal="left" vertical="center" wrapText="1" readingOrder="1"/>
    </xf>
    <xf numFmtId="9" fontId="25" fillId="0" borderId="80" xfId="0" applyNumberFormat="1" applyFont="1" applyBorder="1" applyAlignment="1">
      <alignment horizontal="center" vertical="center" wrapText="1" readingOrder="1"/>
    </xf>
    <xf numFmtId="0" fontId="25" fillId="13" borderId="80" xfId="0" applyFont="1" applyFill="1" applyBorder="1" applyAlignment="1">
      <alignment horizontal="center" vertical="center" wrapText="1" readingOrder="1"/>
    </xf>
    <xf numFmtId="0" fontId="25" fillId="14" borderId="80" xfId="0" applyFont="1" applyFill="1" applyBorder="1" applyAlignment="1">
      <alignment horizontal="center" vertical="center" wrapText="1" readingOrder="1"/>
    </xf>
    <xf numFmtId="0" fontId="26" fillId="5" borderId="80" xfId="0" applyFont="1" applyFill="1" applyBorder="1" applyAlignment="1">
      <alignment horizontal="center" vertical="center" wrapText="1" readingOrder="1"/>
    </xf>
    <xf numFmtId="0" fontId="28" fillId="2" borderId="1" xfId="0" applyFont="1" applyFill="1" applyBorder="1" applyAlignment="1">
      <alignment horizontal="center" vertical="center" wrapText="1"/>
    </xf>
    <xf numFmtId="0" fontId="29" fillId="11" borderId="1" xfId="0" applyFont="1" applyFill="1" applyBorder="1" applyAlignment="1">
      <alignment horizontal="center" vertical="center" wrapText="1" readingOrder="1"/>
    </xf>
    <xf numFmtId="0" fontId="30" fillId="2" borderId="1" xfId="0" applyFont="1" applyFill="1" applyBorder="1"/>
    <xf numFmtId="0" fontId="31" fillId="10" borderId="78" xfId="0" applyFont="1" applyFill="1" applyBorder="1" applyAlignment="1">
      <alignment horizontal="center" vertical="center" wrapText="1" readingOrder="1"/>
    </xf>
    <xf numFmtId="0" fontId="31" fillId="0" borderId="79" xfId="0" applyFont="1" applyBorder="1" applyAlignment="1">
      <alignment horizontal="center" vertical="center" wrapText="1" readingOrder="1"/>
    </xf>
    <xf numFmtId="0" fontId="31" fillId="0" borderId="79" xfId="0" applyFont="1" applyBorder="1" applyAlignment="1">
      <alignment horizontal="left" vertical="center" wrapText="1" readingOrder="1"/>
    </xf>
    <xf numFmtId="0" fontId="31" fillId="12" borderId="80" xfId="0" applyFont="1" applyFill="1" applyBorder="1" applyAlignment="1">
      <alignment horizontal="center" vertical="center" wrapText="1" readingOrder="1"/>
    </xf>
    <xf numFmtId="0" fontId="31" fillId="0" borderId="80" xfId="0" applyFont="1" applyBorder="1" applyAlignment="1">
      <alignment horizontal="center" vertical="center" wrapText="1" readingOrder="1"/>
    </xf>
    <xf numFmtId="0" fontId="31" fillId="0" borderId="80" xfId="0" applyFont="1" applyBorder="1" applyAlignment="1">
      <alignment horizontal="left" vertical="center" wrapText="1" readingOrder="1"/>
    </xf>
    <xf numFmtId="0" fontId="31" fillId="13" borderId="80" xfId="0" applyFont="1" applyFill="1" applyBorder="1" applyAlignment="1">
      <alignment horizontal="center" vertical="center" wrapText="1" readingOrder="1"/>
    </xf>
    <xf numFmtId="0" fontId="31" fillId="14" borderId="80" xfId="0" applyFont="1" applyFill="1" applyBorder="1" applyAlignment="1">
      <alignment horizontal="center" vertical="center" wrapText="1" readingOrder="1"/>
    </xf>
    <xf numFmtId="0" fontId="32" fillId="5" borderId="80" xfId="0" applyFont="1" applyFill="1" applyBorder="1" applyAlignment="1">
      <alignment horizontal="center" vertical="center" wrapText="1" readingOrder="1"/>
    </xf>
    <xf numFmtId="0" fontId="33" fillId="2" borderId="1" xfId="0" applyFont="1" applyFill="1" applyBorder="1" applyAlignment="1">
      <alignment horizontal="left" vertical="center" wrapText="1" readingOrder="1"/>
    </xf>
    <xf numFmtId="0" fontId="8" fillId="2" borderId="1" xfId="0" applyFont="1" applyFill="1" applyBorder="1" applyAlignment="1">
      <alignment vertical="center"/>
    </xf>
    <xf numFmtId="0" fontId="34" fillId="0" borderId="0" xfId="0" applyFont="1" applyAlignment="1">
      <alignment vertical="center"/>
    </xf>
    <xf numFmtId="0" fontId="1"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41" fillId="2" borderId="1" xfId="0" applyFont="1" applyFill="1" applyBorder="1"/>
    <xf numFmtId="0" fontId="42" fillId="15" borderId="85" xfId="0" applyFont="1" applyFill="1" applyBorder="1" applyAlignment="1">
      <alignment horizontal="center" vertical="center" wrapText="1" readingOrder="1"/>
    </xf>
    <xf numFmtId="0" fontId="42" fillId="15" borderId="86" xfId="0" applyFont="1" applyFill="1" applyBorder="1" applyAlignment="1">
      <alignment horizontal="center" vertical="center" wrapText="1" readingOrder="1"/>
    </xf>
    <xf numFmtId="0" fontId="42" fillId="2" borderId="89" xfId="0" applyFont="1" applyFill="1" applyBorder="1" applyAlignment="1">
      <alignment horizontal="center" vertical="center" wrapText="1" readingOrder="1"/>
    </xf>
    <xf numFmtId="0" fontId="43" fillId="2" borderId="89" xfId="0" applyFont="1" applyFill="1" applyBorder="1" applyAlignment="1">
      <alignment horizontal="left" vertical="center" wrapText="1" readingOrder="1"/>
    </xf>
    <xf numFmtId="9" fontId="42" fillId="2" borderId="90" xfId="0" applyNumberFormat="1" applyFont="1" applyFill="1" applyBorder="1" applyAlignment="1">
      <alignment horizontal="center" vertical="center" wrapText="1" readingOrder="1"/>
    </xf>
    <xf numFmtId="0" fontId="42" fillId="2" borderId="93" xfId="0" applyFont="1" applyFill="1" applyBorder="1" applyAlignment="1">
      <alignment horizontal="center" vertical="center" wrapText="1" readingOrder="1"/>
    </xf>
    <xf numFmtId="0" fontId="43" fillId="2" borderId="93" xfId="0" applyFont="1" applyFill="1" applyBorder="1" applyAlignment="1">
      <alignment horizontal="left" vertical="center" wrapText="1" readingOrder="1"/>
    </xf>
    <xf numFmtId="9" fontId="42" fillId="2" borderId="94" xfId="0" applyNumberFormat="1" applyFont="1" applyFill="1" applyBorder="1" applyAlignment="1">
      <alignment horizontal="center" vertical="center" wrapText="1" readingOrder="1"/>
    </xf>
    <xf numFmtId="0" fontId="43" fillId="2" borderId="94" xfId="0" applyFont="1" applyFill="1" applyBorder="1" applyAlignment="1">
      <alignment horizontal="center" vertical="center" wrapText="1" readingOrder="1"/>
    </xf>
    <xf numFmtId="0" fontId="42" fillId="2" borderId="101" xfId="0" applyFont="1" applyFill="1" applyBorder="1" applyAlignment="1">
      <alignment horizontal="center" vertical="center" wrapText="1" readingOrder="1"/>
    </xf>
    <xf numFmtId="0" fontId="43" fillId="2" borderId="101" xfId="0" applyFont="1" applyFill="1" applyBorder="1" applyAlignment="1">
      <alignment horizontal="left" vertical="center" wrapText="1" readingOrder="1"/>
    </xf>
    <xf numFmtId="0" fontId="43" fillId="2" borderId="102" xfId="0" applyFont="1" applyFill="1" applyBorder="1" applyAlignment="1">
      <alignment horizontal="center" vertical="center" wrapText="1" readingOrder="1"/>
    </xf>
    <xf numFmtId="0" fontId="39" fillId="0" borderId="0" xfId="0" applyFont="1"/>
    <xf numFmtId="0" fontId="45" fillId="0" borderId="80" xfId="0" applyFont="1" applyBorder="1" applyAlignment="1">
      <alignment horizontal="left" vertical="center" wrapText="1" readingOrder="1"/>
    </xf>
    <xf numFmtId="0" fontId="31" fillId="16" borderId="80" xfId="0" applyFont="1" applyFill="1" applyBorder="1" applyAlignment="1">
      <alignment horizontal="center" vertical="center" wrapText="1" readingOrder="1"/>
    </xf>
    <xf numFmtId="0" fontId="31" fillId="16" borderId="80" xfId="0" applyFont="1" applyFill="1" applyBorder="1" applyAlignment="1">
      <alignment horizontal="left" vertical="center" wrapText="1" readingOrder="1"/>
    </xf>
    <xf numFmtId="0" fontId="59" fillId="0" borderId="0" xfId="0" applyFont="1"/>
    <xf numFmtId="0" fontId="54" fillId="0" borderId="0" xfId="0" applyFont="1" applyAlignment="1">
      <alignment horizontal="left" vertical="center" indent="5"/>
    </xf>
    <xf numFmtId="0" fontId="51" fillId="0" borderId="0" xfId="0" applyFont="1" applyAlignment="1">
      <alignment vertical="center"/>
    </xf>
    <xf numFmtId="0" fontId="51" fillId="0" borderId="0" xfId="0" applyFont="1" applyAlignment="1" applyProtection="1">
      <alignment horizontal="center" vertical="center"/>
      <protection locked="0"/>
    </xf>
    <xf numFmtId="0" fontId="51" fillId="2" borderId="1" xfId="0" applyFont="1" applyFill="1" applyBorder="1" applyAlignment="1" applyProtection="1">
      <alignment horizontal="center" vertical="center"/>
      <protection locked="0"/>
    </xf>
    <xf numFmtId="0" fontId="51" fillId="2" borderId="52" xfId="0" applyFont="1" applyFill="1" applyBorder="1" applyAlignment="1" applyProtection="1">
      <alignment horizontal="center" vertical="center"/>
      <protection locked="0"/>
    </xf>
    <xf numFmtId="0" fontId="51" fillId="0" borderId="103" xfId="0" applyFont="1" applyBorder="1" applyAlignment="1" applyProtection="1">
      <alignment horizontal="center" vertical="center"/>
      <protection locked="0"/>
    </xf>
    <xf numFmtId="0" fontId="51" fillId="0" borderId="103"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textRotation="90"/>
      <protection locked="0"/>
    </xf>
    <xf numFmtId="14" fontId="51" fillId="0" borderId="103" xfId="0" applyNumberFormat="1" applyFont="1" applyBorder="1" applyAlignment="1" applyProtection="1">
      <alignment horizontal="center" vertical="center"/>
      <protection locked="0"/>
    </xf>
    <xf numFmtId="0" fontId="51" fillId="0" borderId="103" xfId="0" applyFont="1" applyBorder="1" applyAlignment="1">
      <alignment horizontal="center" vertical="center"/>
    </xf>
    <xf numFmtId="9" fontId="51" fillId="0" borderId="103" xfId="0" applyNumberFormat="1" applyFont="1" applyBorder="1" applyAlignment="1">
      <alignment horizontal="center" vertical="center"/>
    </xf>
    <xf numFmtId="164" fontId="51" fillId="0" borderId="103" xfId="0" applyNumberFormat="1" applyFont="1" applyBorder="1" applyAlignment="1">
      <alignment horizontal="center" vertical="center"/>
    </xf>
    <xf numFmtId="0" fontId="50" fillId="0" borderId="103" xfId="0" applyFont="1" applyBorder="1" applyAlignment="1">
      <alignment horizontal="center" vertical="center" textRotation="90" wrapText="1"/>
    </xf>
    <xf numFmtId="0" fontId="50" fillId="0" borderId="103" xfId="0" applyFont="1" applyBorder="1" applyAlignment="1">
      <alignment horizontal="center" vertical="center" textRotation="90"/>
    </xf>
    <xf numFmtId="0" fontId="52" fillId="0" borderId="103" xfId="0" applyFont="1" applyBorder="1" applyAlignment="1" applyProtection="1">
      <alignment horizontal="center" vertical="center"/>
      <protection locked="0"/>
    </xf>
    <xf numFmtId="0" fontId="62" fillId="2" borderId="52" xfId="0" applyFont="1" applyFill="1" applyBorder="1"/>
    <xf numFmtId="0" fontId="62" fillId="0" borderId="0" xfId="0" applyFont="1"/>
    <xf numFmtId="0" fontId="51" fillId="0" borderId="0" xfId="0" applyFont="1" applyAlignment="1">
      <alignment horizontal="center" vertical="center"/>
    </xf>
    <xf numFmtId="0" fontId="50" fillId="4" borderId="103" xfId="0" applyFont="1" applyFill="1" applyBorder="1" applyAlignment="1">
      <alignment horizontal="center" vertical="center" textRotation="90"/>
    </xf>
    <xf numFmtId="0" fontId="50" fillId="0" borderId="0" xfId="0" applyFont="1" applyAlignment="1" applyProtection="1">
      <alignment horizontal="left" vertical="center"/>
      <protection locked="0"/>
    </xf>
    <xf numFmtId="0" fontId="63" fillId="0" borderId="121"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protection locked="0"/>
    </xf>
    <xf numFmtId="0" fontId="63" fillId="0" borderId="121" xfId="0" applyFont="1" applyBorder="1" applyAlignment="1">
      <alignment horizontal="center" vertical="center" textRotation="90"/>
    </xf>
    <xf numFmtId="0" fontId="51" fillId="0" borderId="123" xfId="0" applyFont="1" applyBorder="1" applyAlignment="1" applyProtection="1">
      <alignment vertical="center" wrapText="1"/>
      <protection locked="0"/>
    </xf>
    <xf numFmtId="9" fontId="51" fillId="0" borderId="123" xfId="0" applyNumberFormat="1" applyFont="1" applyBorder="1" applyAlignment="1" applyProtection="1">
      <alignment vertical="center" wrapText="1"/>
      <protection locked="0"/>
    </xf>
    <xf numFmtId="9" fontId="51" fillId="0" borderId="123" xfId="0" applyNumberFormat="1" applyFont="1" applyBorder="1" applyAlignment="1">
      <alignment vertical="center" wrapText="1"/>
    </xf>
    <xf numFmtId="0" fontId="50" fillId="0" borderId="123" xfId="0" applyFont="1" applyBorder="1" applyAlignment="1">
      <alignment vertical="center" wrapText="1"/>
    </xf>
    <xf numFmtId="0" fontId="50" fillId="0" borderId="123" xfId="0" applyFont="1" applyBorder="1" applyAlignment="1">
      <alignment vertical="center"/>
    </xf>
    <xf numFmtId="0" fontId="51" fillId="0" borderId="123" xfId="0" applyFont="1" applyBorder="1" applyAlignment="1" applyProtection="1">
      <alignment vertical="center"/>
      <protection locked="0"/>
    </xf>
    <xf numFmtId="0" fontId="65" fillId="0" borderId="129" xfId="0" applyFont="1" applyBorder="1" applyAlignment="1" applyProtection="1">
      <alignment horizontal="left" vertical="center" wrapText="1"/>
      <protection locked="0"/>
    </xf>
    <xf numFmtId="0" fontId="51" fillId="0" borderId="129" xfId="0" applyFont="1" applyBorder="1" applyAlignment="1" applyProtection="1">
      <alignment horizontal="center" vertical="center" textRotation="90"/>
      <protection locked="0"/>
    </xf>
    <xf numFmtId="14" fontId="51" fillId="17" borderId="103" xfId="0" applyNumberFormat="1" applyFont="1" applyFill="1" applyBorder="1" applyAlignment="1" applyProtection="1">
      <alignment horizontal="center" vertical="center"/>
      <protection locked="0"/>
    </xf>
    <xf numFmtId="0" fontId="51" fillId="17" borderId="103" xfId="0" applyFont="1" applyFill="1" applyBorder="1" applyAlignment="1" applyProtection="1">
      <alignment horizontal="center" vertical="center" wrapText="1"/>
      <protection locked="0"/>
    </xf>
    <xf numFmtId="165" fontId="62" fillId="17" borderId="103" xfId="0" applyNumberFormat="1" applyFont="1" applyFill="1" applyBorder="1" applyAlignment="1" applyProtection="1">
      <alignment horizontal="center" vertical="center"/>
      <protection locked="0"/>
    </xf>
    <xf numFmtId="0" fontId="68" fillId="17" borderId="103" xfId="0" applyFont="1" applyFill="1" applyBorder="1" applyAlignment="1" applyProtection="1">
      <alignment horizontal="center" vertical="center" wrapText="1"/>
      <protection locked="0"/>
    </xf>
    <xf numFmtId="165" fontId="62" fillId="17" borderId="130" xfId="0" applyNumberFormat="1" applyFont="1" applyFill="1" applyBorder="1" applyAlignment="1" applyProtection="1">
      <alignment horizontal="center" vertical="center"/>
      <protection locked="0"/>
    </xf>
    <xf numFmtId="165" fontId="62" fillId="17" borderId="131" xfId="0" applyNumberFormat="1" applyFont="1" applyFill="1" applyBorder="1" applyAlignment="1" applyProtection="1">
      <alignment horizontal="center" vertical="center"/>
      <protection locked="0"/>
    </xf>
    <xf numFmtId="0" fontId="51" fillId="0" borderId="0" xfId="0" applyFont="1" applyAlignment="1" applyProtection="1">
      <alignment horizontal="center" vertical="center" wrapText="1"/>
      <protection locked="0"/>
    </xf>
    <xf numFmtId="165" fontId="6" fillId="0" borderId="124" xfId="0" applyNumberFormat="1" applyFont="1" applyBorder="1" applyAlignment="1" applyProtection="1">
      <alignment horizontal="center" vertical="center"/>
      <protection locked="0"/>
    </xf>
    <xf numFmtId="165" fontId="6" fillId="0" borderId="103" xfId="0" applyNumberFormat="1" applyFont="1" applyBorder="1" applyAlignment="1" applyProtection="1">
      <alignment horizontal="center" vertical="center"/>
      <protection locked="0"/>
    </xf>
    <xf numFmtId="165" fontId="6" fillId="0" borderId="130" xfId="0" applyNumberFormat="1" applyFont="1" applyBorder="1" applyAlignment="1" applyProtection="1">
      <alignment horizontal="center" vertical="center"/>
      <protection locked="0"/>
    </xf>
    <xf numFmtId="0" fontId="51" fillId="0" borderId="123" xfId="0" applyFont="1" applyBorder="1" applyAlignment="1" applyProtection="1">
      <alignment horizontal="center" vertical="center" textRotation="90"/>
      <protection locked="0"/>
    </xf>
    <xf numFmtId="0" fontId="51" fillId="0" borderId="125"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textRotation="90"/>
      <protection locked="0"/>
    </xf>
    <xf numFmtId="0" fontId="51" fillId="0" borderId="107" xfId="0" applyFont="1" applyBorder="1" applyAlignment="1">
      <alignment horizontal="center" vertical="center"/>
    </xf>
    <xf numFmtId="0" fontId="51" fillId="0" borderId="106" xfId="0" applyFont="1" applyBorder="1" applyAlignment="1">
      <alignment horizontal="center" vertical="center"/>
    </xf>
    <xf numFmtId="0" fontId="51" fillId="0" borderId="108" xfId="0" applyFont="1" applyBorder="1" applyAlignment="1">
      <alignment horizontal="center" vertical="center"/>
    </xf>
    <xf numFmtId="0" fontId="51" fillId="0" borderId="112" xfId="0" applyFont="1" applyBorder="1" applyAlignment="1">
      <alignment horizontal="center" vertical="center"/>
    </xf>
    <xf numFmtId="0" fontId="51" fillId="0" borderId="52" xfId="0" applyFont="1" applyBorder="1" applyAlignment="1">
      <alignment horizontal="center" vertical="center"/>
    </xf>
    <xf numFmtId="0" fontId="51" fillId="0" borderId="113" xfId="0" applyFont="1" applyBorder="1" applyAlignment="1">
      <alignment horizontal="center" vertical="center"/>
    </xf>
    <xf numFmtId="0" fontId="51" fillId="0" borderId="109" xfId="0" applyFont="1" applyBorder="1" applyAlignment="1">
      <alignment horizontal="center" vertical="center"/>
    </xf>
    <xf numFmtId="0" fontId="51" fillId="0" borderId="110" xfId="0" applyFont="1" applyBorder="1" applyAlignment="1">
      <alignment horizontal="center" vertical="center"/>
    </xf>
    <xf numFmtId="0" fontId="51" fillId="0" borderId="111" xfId="0" applyFont="1" applyBorder="1" applyAlignment="1">
      <alignment horizontal="center" vertical="center"/>
    </xf>
    <xf numFmtId="0" fontId="57" fillId="0" borderId="104" xfId="0" applyFont="1" applyBorder="1" applyAlignment="1">
      <alignment horizontal="center" vertical="center"/>
    </xf>
    <xf numFmtId="0" fontId="57" fillId="0" borderId="105" xfId="0" applyFont="1" applyBorder="1" applyAlignment="1">
      <alignment horizontal="center" vertical="center"/>
    </xf>
    <xf numFmtId="0" fontId="58" fillId="0" borderId="106" xfId="0" applyFont="1" applyBorder="1" applyAlignment="1">
      <alignment horizontal="left" vertical="center"/>
    </xf>
    <xf numFmtId="0" fontId="58" fillId="0" borderId="108" xfId="0" applyFont="1" applyBorder="1" applyAlignment="1">
      <alignment horizontal="left" vertical="center"/>
    </xf>
    <xf numFmtId="0" fontId="57" fillId="0" borderId="110" xfId="0" applyFont="1" applyBorder="1" applyAlignment="1">
      <alignment horizontal="center" vertical="center"/>
    </xf>
    <xf numFmtId="0" fontId="57" fillId="0" borderId="52" xfId="0" applyFont="1" applyBorder="1" applyAlignment="1">
      <alignment horizontal="center" vertical="center"/>
    </xf>
    <xf numFmtId="0" fontId="57" fillId="0" borderId="111" xfId="0" applyFont="1" applyBorder="1" applyAlignment="1">
      <alignment horizontal="center" vertical="center"/>
    </xf>
    <xf numFmtId="0" fontId="56" fillId="0" borderId="107" xfId="0" applyFont="1" applyBorder="1" applyAlignment="1">
      <alignment horizontal="center" vertical="center"/>
    </xf>
    <xf numFmtId="0" fontId="56" fillId="0" borderId="106" xfId="0" applyFont="1" applyBorder="1" applyAlignment="1">
      <alignment horizontal="center" vertical="center"/>
    </xf>
    <xf numFmtId="15" fontId="60" fillId="0" borderId="109" xfId="0" applyNumberFormat="1" applyFont="1" applyBorder="1" applyAlignment="1">
      <alignment horizontal="center" vertical="center"/>
    </xf>
    <xf numFmtId="0" fontId="60" fillId="0" borderId="110" xfId="0" applyFont="1" applyBorder="1" applyAlignment="1">
      <alignment horizontal="center" vertical="center"/>
    </xf>
    <xf numFmtId="0" fontId="56" fillId="0" borderId="108" xfId="0" applyFont="1" applyBorder="1" applyAlignment="1">
      <alignment horizontal="center" vertical="center"/>
    </xf>
    <xf numFmtId="49" fontId="60" fillId="0" borderId="109" xfId="0" applyNumberFormat="1" applyFont="1" applyBorder="1" applyAlignment="1">
      <alignment horizontal="center" vertical="center"/>
    </xf>
    <xf numFmtId="49" fontId="60" fillId="0" borderId="110" xfId="0" applyNumberFormat="1" applyFont="1" applyBorder="1" applyAlignment="1">
      <alignment horizontal="center" vertical="center"/>
    </xf>
    <xf numFmtId="49" fontId="60" fillId="0" borderId="111" xfId="0" applyNumberFormat="1" applyFont="1" applyBorder="1" applyAlignment="1">
      <alignment horizontal="center" vertical="center"/>
    </xf>
    <xf numFmtId="0" fontId="60" fillId="0" borderId="111" xfId="0" applyFont="1" applyBorder="1" applyAlignment="1">
      <alignment horizontal="center" vertical="center"/>
    </xf>
    <xf numFmtId="0" fontId="60" fillId="0" borderId="109" xfId="0" applyFont="1" applyBorder="1" applyAlignment="1">
      <alignment horizontal="center" vertical="center"/>
    </xf>
    <xf numFmtId="9" fontId="51" fillId="0" borderId="103" xfId="0" applyNumberFormat="1" applyFont="1" applyBorder="1" applyAlignment="1" applyProtection="1">
      <alignment horizontal="center" vertical="center" wrapText="1"/>
      <protection locked="0"/>
    </xf>
    <xf numFmtId="0" fontId="52" fillId="0" borderId="103" xfId="0" applyFont="1" applyBorder="1" applyAlignment="1" applyProtection="1">
      <alignment horizontal="center" vertical="center"/>
      <protection locked="0"/>
    </xf>
    <xf numFmtId="9" fontId="51" fillId="0" borderId="103" xfId="0" applyNumberFormat="1" applyFont="1" applyBorder="1" applyAlignment="1">
      <alignment horizontal="center" vertical="center" wrapText="1"/>
    </xf>
    <xf numFmtId="0" fontId="52" fillId="0" borderId="103" xfId="0" applyFont="1" applyBorder="1" applyAlignment="1">
      <alignment horizontal="center" vertical="center"/>
    </xf>
    <xf numFmtId="0" fontId="50" fillId="0" borderId="103" xfId="0" applyFont="1" applyBorder="1" applyAlignment="1">
      <alignment horizontal="center" vertical="center" wrapText="1"/>
    </xf>
    <xf numFmtId="0" fontId="50" fillId="0" borderId="103" xfId="0" applyFont="1" applyBorder="1" applyAlignment="1">
      <alignment horizontal="center" vertical="center"/>
    </xf>
    <xf numFmtId="0" fontId="51" fillId="0" borderId="103" xfId="0" applyFont="1" applyBorder="1" applyAlignment="1" applyProtection="1">
      <alignment horizontal="center" vertical="center"/>
      <protection locked="0"/>
    </xf>
    <xf numFmtId="0" fontId="51" fillId="0" borderId="123" xfId="0" applyFont="1" applyBorder="1" applyAlignment="1" applyProtection="1">
      <alignment horizontal="center" vertical="center" wrapText="1"/>
      <protection locked="0"/>
    </xf>
    <xf numFmtId="0" fontId="51" fillId="0" borderId="125" xfId="0" applyFont="1" applyBorder="1" applyAlignment="1" applyProtection="1">
      <alignment horizontal="center" vertical="center" wrapText="1"/>
      <protection locked="0"/>
    </xf>
    <xf numFmtId="0" fontId="51" fillId="0" borderId="124"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wrapText="1"/>
      <protection locked="0"/>
    </xf>
    <xf numFmtId="0" fontId="50" fillId="4" borderId="103" xfId="0" applyFont="1" applyFill="1" applyBorder="1" applyAlignment="1">
      <alignment horizontal="center" vertical="center"/>
    </xf>
    <xf numFmtId="0" fontId="50" fillId="4" borderId="103" xfId="0" applyFont="1" applyFill="1" applyBorder="1" applyAlignment="1">
      <alignment horizontal="left" vertical="center"/>
    </xf>
    <xf numFmtId="0" fontId="52" fillId="0" borderId="103" xfId="0" applyFont="1" applyBorder="1" applyAlignment="1">
      <alignment horizontal="left" vertical="center"/>
    </xf>
    <xf numFmtId="0" fontId="64" fillId="2" borderId="126" xfId="0" applyFont="1" applyFill="1" applyBorder="1" applyAlignment="1" applyProtection="1">
      <alignment horizontal="left" vertical="center"/>
      <protection locked="0"/>
    </xf>
    <xf numFmtId="0" fontId="52" fillId="0" borderId="127" xfId="0" applyFont="1" applyBorder="1" applyProtection="1">
      <protection locked="0"/>
    </xf>
    <xf numFmtId="0" fontId="52" fillId="0" borderId="128" xfId="0" applyFont="1" applyBorder="1" applyProtection="1">
      <protection locked="0"/>
    </xf>
    <xf numFmtId="0" fontId="51" fillId="2" borderId="43" xfId="0" applyFont="1" applyFill="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52" fillId="0" borderId="44" xfId="0" applyFont="1" applyBorder="1" applyAlignment="1" applyProtection="1">
      <alignment horizontal="center" vertical="center"/>
      <protection locked="0"/>
    </xf>
    <xf numFmtId="0" fontId="66" fillId="2" borderId="126" xfId="0" applyFont="1" applyFill="1" applyBorder="1" applyAlignment="1" applyProtection="1">
      <alignment horizontal="left" vertical="center" wrapText="1"/>
      <protection locked="0"/>
    </xf>
    <xf numFmtId="0" fontId="67" fillId="0" borderId="127" xfId="0" applyFont="1" applyBorder="1" applyProtection="1">
      <protection locked="0"/>
    </xf>
    <xf numFmtId="0" fontId="67" fillId="0" borderId="128" xfId="0" applyFont="1" applyBorder="1" applyProtection="1">
      <protection locked="0"/>
    </xf>
    <xf numFmtId="0" fontId="50" fillId="4" borderId="103" xfId="0" applyFont="1" applyFill="1" applyBorder="1" applyAlignment="1">
      <alignment horizontal="center" vertical="center" wrapText="1"/>
    </xf>
    <xf numFmtId="0" fontId="50" fillId="4" borderId="103" xfId="0" applyFont="1" applyFill="1" applyBorder="1" applyAlignment="1">
      <alignment horizontal="center" vertical="center" textRotation="90"/>
    </xf>
    <xf numFmtId="0" fontId="50" fillId="4" borderId="103" xfId="0" applyFont="1" applyFill="1" applyBorder="1" applyAlignment="1">
      <alignment horizontal="center" vertical="center" textRotation="90" wrapText="1"/>
    </xf>
    <xf numFmtId="0" fontId="51" fillId="0" borderId="123" xfId="0" applyFont="1" applyBorder="1" applyAlignment="1" applyProtection="1">
      <alignment horizontal="center" vertical="center"/>
      <protection locked="0"/>
    </xf>
    <xf numFmtId="0" fontId="51" fillId="0" borderId="125" xfId="0" applyFont="1" applyBorder="1" applyAlignment="1" applyProtection="1">
      <alignment horizontal="center" vertical="center"/>
      <protection locked="0"/>
    </xf>
    <xf numFmtId="0" fontId="51" fillId="0" borderId="124" xfId="0" applyFont="1" applyBorder="1" applyAlignment="1" applyProtection="1">
      <alignment horizontal="center" vertical="center"/>
      <protection locked="0"/>
    </xf>
    <xf numFmtId="0" fontId="63" fillId="0" borderId="52" xfId="0" applyFont="1" applyBorder="1" applyAlignment="1">
      <alignment horizontal="center" vertical="center" textRotation="90" wrapText="1"/>
    </xf>
    <xf numFmtId="0" fontId="63" fillId="0" borderId="120" xfId="0" applyFont="1" applyBorder="1" applyAlignment="1">
      <alignment horizontal="center" vertical="center" textRotation="90"/>
    </xf>
    <xf numFmtId="0" fontId="63" fillId="0" borderId="121" xfId="0" applyFont="1" applyBorder="1" applyAlignment="1">
      <alignment horizontal="center" vertical="center" textRotation="90"/>
    </xf>
    <xf numFmtId="0" fontId="63" fillId="0" borderId="122" xfId="0" applyFont="1" applyBorder="1" applyAlignment="1">
      <alignment horizontal="center" vertical="center" textRotation="90"/>
    </xf>
    <xf numFmtId="0" fontId="50" fillId="4" borderId="123" xfId="0" applyFont="1" applyFill="1" applyBorder="1" applyAlignment="1">
      <alignment horizontal="center" vertical="center" textRotation="90" wrapText="1"/>
    </xf>
    <xf numFmtId="0" fontId="50" fillId="4" borderId="124" xfId="0" applyFont="1" applyFill="1" applyBorder="1" applyAlignment="1">
      <alignment horizontal="center" vertical="center" textRotation="90" wrapText="1"/>
    </xf>
    <xf numFmtId="0" fontId="51" fillId="0" borderId="103" xfId="0" applyFont="1" applyBorder="1" applyAlignment="1">
      <alignment horizontal="center" vertical="center" wrapText="1"/>
    </xf>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2" borderId="13" xfId="0" quotePrefix="1" applyFont="1" applyFill="1" applyBorder="1" applyAlignment="1">
      <alignment horizontal="left" vertical="top" wrapText="1"/>
    </xf>
    <xf numFmtId="0" fontId="3" fillId="0" borderId="14" xfId="0" applyFont="1" applyBorder="1"/>
    <xf numFmtId="0" fontId="3" fillId="0" borderId="15" xfId="0" applyFont="1" applyBorder="1"/>
    <xf numFmtId="0" fontId="6" fillId="2" borderId="16" xfId="0" applyFont="1" applyFill="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0" fontId="10" fillId="3" borderId="21" xfId="0" applyFont="1" applyFill="1" applyBorder="1" applyAlignment="1">
      <alignment horizontal="center" vertical="center" wrapText="1"/>
    </xf>
    <xf numFmtId="0" fontId="3" fillId="0" borderId="22" xfId="0" applyFont="1" applyBorder="1"/>
    <xf numFmtId="0" fontId="10" fillId="3" borderId="23" xfId="0" applyFont="1" applyFill="1" applyBorder="1" applyAlignment="1">
      <alignment horizontal="center" vertical="center"/>
    </xf>
    <xf numFmtId="0" fontId="3" fillId="0" borderId="24" xfId="0" applyFont="1" applyBorder="1"/>
    <xf numFmtId="0" fontId="10" fillId="2" borderId="25" xfId="0" applyFont="1" applyFill="1" applyBorder="1" applyAlignment="1">
      <alignment horizontal="left" vertical="top" wrapText="1" readingOrder="1"/>
    </xf>
    <xf numFmtId="0" fontId="3" fillId="0" borderId="26" xfId="0" applyFont="1" applyBorder="1"/>
    <xf numFmtId="0" fontId="11" fillId="2" borderId="27" xfId="0" applyFont="1" applyFill="1" applyBorder="1" applyAlignment="1">
      <alignment horizontal="left" vertical="center" wrapText="1"/>
    </xf>
    <xf numFmtId="0" fontId="3" fillId="0" borderId="28" xfId="0" applyFont="1" applyBorder="1"/>
    <xf numFmtId="0" fontId="10" fillId="2" borderId="29" xfId="0" applyFont="1" applyFill="1" applyBorder="1" applyAlignment="1">
      <alignment horizontal="left" vertical="center" wrapText="1"/>
    </xf>
    <xf numFmtId="0" fontId="3" fillId="0" borderId="30" xfId="0" applyFont="1" applyBorder="1"/>
    <xf numFmtId="0" fontId="11" fillId="2" borderId="31" xfId="0" applyFont="1" applyFill="1" applyBorder="1" applyAlignment="1">
      <alignment horizontal="left" vertical="center" wrapText="1"/>
    </xf>
    <xf numFmtId="0" fontId="3" fillId="0" borderId="32" xfId="0" applyFont="1" applyBorder="1"/>
    <xf numFmtId="0" fontId="11" fillId="2" borderId="35" xfId="0" applyFont="1" applyFill="1" applyBorder="1" applyAlignment="1">
      <alignment horizontal="left" vertical="center" wrapText="1"/>
    </xf>
    <xf numFmtId="0" fontId="3" fillId="0" borderId="36" xfId="0" applyFont="1" applyBorder="1"/>
    <xf numFmtId="0" fontId="4"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0" fillId="2" borderId="33" xfId="0" applyFont="1" applyFill="1" applyBorder="1" applyAlignment="1">
      <alignment horizontal="left" vertical="center" wrapText="1"/>
    </xf>
    <xf numFmtId="0" fontId="3" fillId="0" borderId="34" xfId="0" applyFont="1" applyBorder="1"/>
    <xf numFmtId="0" fontId="16" fillId="7" borderId="45" xfId="0" applyFont="1" applyFill="1" applyBorder="1" applyAlignment="1">
      <alignment horizontal="center" vertical="center" wrapText="1" readingOrder="1"/>
    </xf>
    <xf numFmtId="0" fontId="3" fillId="0" borderId="53" xfId="0" applyFont="1" applyBorder="1"/>
    <xf numFmtId="0" fontId="3" fillId="0" borderId="50" xfId="0" applyFont="1" applyBorder="1"/>
    <xf numFmtId="0" fontId="3" fillId="0" borderId="63" xfId="0" applyFont="1" applyBorder="1"/>
    <xf numFmtId="0" fontId="16" fillId="8" borderId="66" xfId="0" applyFont="1" applyFill="1" applyBorder="1" applyAlignment="1">
      <alignment horizontal="center" wrapText="1" readingOrder="1"/>
    </xf>
    <xf numFmtId="0" fontId="3" fillId="0" borderId="47" xfId="0" applyFont="1" applyBorder="1"/>
    <xf numFmtId="0" fontId="3" fillId="0" borderId="62" xfId="0" applyFont="1" applyBorder="1"/>
    <xf numFmtId="0" fontId="3" fillId="0" borderId="52" xfId="0" applyFont="1" applyBorder="1"/>
    <xf numFmtId="0" fontId="16" fillId="8" borderId="45" xfId="0" applyFont="1" applyFill="1" applyBorder="1" applyAlignment="1">
      <alignment horizontal="center" wrapText="1" readingOrder="1"/>
    </xf>
    <xf numFmtId="0" fontId="16" fillId="7" borderId="54" xfId="0" applyFont="1" applyFill="1" applyBorder="1" applyAlignment="1">
      <alignment horizontal="center" vertical="center" wrapText="1" readingOrder="1"/>
    </xf>
    <xf numFmtId="0" fontId="3" fillId="0" borderId="57" xfId="0" applyFont="1" applyBorder="1"/>
    <xf numFmtId="0" fontId="16" fillId="7" borderId="58" xfId="0" applyFont="1" applyFill="1" applyBorder="1" applyAlignment="1">
      <alignment horizontal="center" vertical="center" wrapText="1" readingOrder="1"/>
    </xf>
    <xf numFmtId="0" fontId="16" fillId="7" borderId="66" xfId="0" applyFont="1" applyFill="1" applyBorder="1" applyAlignment="1">
      <alignment horizontal="center" vertical="center" wrapText="1" readingOrder="1"/>
    </xf>
    <xf numFmtId="0" fontId="16" fillId="8" borderId="58" xfId="0" applyFont="1" applyFill="1" applyBorder="1" applyAlignment="1">
      <alignment horizontal="center" wrapText="1" readingOrder="1"/>
    </xf>
    <xf numFmtId="0" fontId="3" fillId="0" borderId="67" xfId="0" applyFont="1" applyBorder="1"/>
    <xf numFmtId="0" fontId="3" fillId="0" borderId="70" xfId="0" applyFont="1" applyBorder="1"/>
    <xf numFmtId="0" fontId="3" fillId="0" borderId="71" xfId="0" applyFont="1" applyBorder="1"/>
    <xf numFmtId="0" fontId="3" fillId="0" borderId="69" xfId="0" applyFont="1" applyBorder="1"/>
    <xf numFmtId="0" fontId="16" fillId="9" borderId="58" xfId="0" applyFont="1" applyFill="1" applyBorder="1" applyAlignment="1">
      <alignment horizontal="center" wrapText="1" readingOrder="1"/>
    </xf>
    <xf numFmtId="0" fontId="3" fillId="0" borderId="56" xfId="0" applyFont="1" applyBorder="1"/>
    <xf numFmtId="0" fontId="16" fillId="9" borderId="54" xfId="0" applyFont="1" applyFill="1" applyBorder="1" applyAlignment="1">
      <alignment horizontal="center" wrapText="1" readingOrder="1"/>
    </xf>
    <xf numFmtId="0" fontId="16" fillId="8" borderId="54" xfId="0" applyFont="1" applyFill="1" applyBorder="1" applyAlignment="1">
      <alignment horizontal="center" wrapText="1" readingOrder="1"/>
    </xf>
    <xf numFmtId="0" fontId="16" fillId="10" borderId="45" xfId="0" applyFont="1" applyFill="1" applyBorder="1" applyAlignment="1">
      <alignment horizontal="center" wrapText="1" readingOrder="1"/>
    </xf>
    <xf numFmtId="0" fontId="16" fillId="9" borderId="45" xfId="0" applyFont="1" applyFill="1" applyBorder="1" applyAlignment="1">
      <alignment horizontal="center" wrapText="1" readingOrder="1"/>
    </xf>
    <xf numFmtId="0" fontId="16" fillId="9" borderId="66" xfId="0" applyFont="1" applyFill="1" applyBorder="1" applyAlignment="1">
      <alignment horizontal="center" wrapText="1" readingOrder="1"/>
    </xf>
    <xf numFmtId="0" fontId="17" fillId="10" borderId="59" xfId="0" applyFont="1" applyFill="1" applyBorder="1" applyAlignment="1">
      <alignment horizontal="center" vertical="center" wrapText="1" readingOrder="1"/>
    </xf>
    <xf numFmtId="0" fontId="3" fillId="0" borderId="60" xfId="0" applyFont="1" applyBorder="1"/>
    <xf numFmtId="0" fontId="3" fillId="0" borderId="61" xfId="0" applyFont="1" applyBorder="1"/>
    <xf numFmtId="0" fontId="3" fillId="0" borderId="64" xfId="0" applyFont="1" applyBorder="1"/>
    <xf numFmtId="0" fontId="3" fillId="0" borderId="65" xfId="0" applyFont="1" applyBorder="1"/>
    <xf numFmtId="0" fontId="3" fillId="0" borderId="72" xfId="0" applyFont="1" applyBorder="1"/>
    <xf numFmtId="0" fontId="3" fillId="0" borderId="73" xfId="0" applyFont="1" applyBorder="1"/>
    <xf numFmtId="0" fontId="3" fillId="0" borderId="74" xfId="0" applyFont="1" applyBorder="1"/>
    <xf numFmtId="0" fontId="17" fillId="7" borderId="59" xfId="0" applyFont="1" applyFill="1" applyBorder="1" applyAlignment="1">
      <alignment horizontal="center" vertical="center" wrapText="1" readingOrder="1"/>
    </xf>
    <xf numFmtId="0" fontId="17" fillId="9" borderId="59" xfId="0" applyFont="1" applyFill="1" applyBorder="1" applyAlignment="1">
      <alignment horizontal="center" vertical="center" wrapText="1" readingOrder="1"/>
    </xf>
    <xf numFmtId="0" fontId="17" fillId="8" borderId="59" xfId="0" applyFont="1" applyFill="1" applyBorder="1" applyAlignment="1">
      <alignment horizontal="center" vertical="center" wrapText="1" readingOrder="1"/>
    </xf>
    <xf numFmtId="0" fontId="15" fillId="0" borderId="54" xfId="0" applyFont="1" applyBorder="1" applyAlignment="1">
      <alignment horizontal="center" vertical="center" wrapText="1"/>
    </xf>
    <xf numFmtId="0" fontId="3" fillId="0" borderId="55" xfId="0" applyFont="1" applyBorder="1"/>
    <xf numFmtId="0" fontId="3" fillId="0" borderId="68" xfId="0" applyFont="1" applyBorder="1"/>
    <xf numFmtId="0" fontId="16" fillId="10" borderId="54" xfId="0" applyFont="1" applyFill="1" applyBorder="1" applyAlignment="1">
      <alignment horizontal="center" wrapText="1" readingOrder="1"/>
    </xf>
    <xf numFmtId="0" fontId="16" fillId="10" borderId="66" xfId="0" applyFont="1" applyFill="1" applyBorder="1" applyAlignment="1">
      <alignment horizontal="center" wrapText="1" readingOrder="1"/>
    </xf>
    <xf numFmtId="0" fontId="16" fillId="10" borderId="58" xfId="0" applyFont="1" applyFill="1" applyBorder="1" applyAlignment="1">
      <alignment horizontal="center" wrapText="1" readingOrder="1"/>
    </xf>
    <xf numFmtId="0" fontId="12" fillId="0" borderId="0" xfId="0" applyFont="1" applyAlignment="1">
      <alignment horizontal="center" vertical="center" wrapText="1"/>
    </xf>
    <xf numFmtId="0" fontId="14" fillId="6" borderId="45" xfId="0" applyFont="1" applyFill="1" applyBorder="1" applyAlignment="1">
      <alignment horizontal="center" vertical="center" wrapText="1" readingOrder="1"/>
    </xf>
    <xf numFmtId="0" fontId="3" fillId="0" borderId="46" xfId="0" applyFont="1" applyBorder="1"/>
    <xf numFmtId="0" fontId="3" fillId="0" borderId="48" xfId="0" applyFont="1" applyBorder="1"/>
    <xf numFmtId="0" fontId="3" fillId="0" borderId="49" xfId="0" applyFont="1" applyBorder="1"/>
    <xf numFmtId="0" fontId="3" fillId="0" borderId="51" xfId="0" applyFont="1" applyBorder="1"/>
    <xf numFmtId="0" fontId="14" fillId="6" borderId="45" xfId="0" applyFont="1" applyFill="1" applyBorder="1" applyAlignment="1">
      <alignment horizontal="center" vertical="center" textRotation="90" wrapText="1" readingOrder="1"/>
    </xf>
    <xf numFmtId="0" fontId="21" fillId="7" borderId="59" xfId="0" applyFont="1" applyFill="1" applyBorder="1" applyAlignment="1">
      <alignment horizontal="center" vertical="center" wrapText="1" readingOrder="1"/>
    </xf>
    <xf numFmtId="0" fontId="21" fillId="9" borderId="59" xfId="0" applyFont="1" applyFill="1" applyBorder="1" applyAlignment="1">
      <alignment horizontal="center" vertical="center" wrapText="1" readingOrder="1"/>
    </xf>
    <xf numFmtId="0" fontId="21" fillId="8" borderId="59" xfId="0" applyFont="1" applyFill="1" applyBorder="1" applyAlignment="1">
      <alignment horizontal="center" vertical="center" wrapText="1" readingOrder="1"/>
    </xf>
    <xf numFmtId="0" fontId="21" fillId="10" borderId="59" xfId="0" applyFont="1" applyFill="1" applyBorder="1" applyAlignment="1">
      <alignment horizontal="center" vertical="center" wrapText="1" readingOrder="1"/>
    </xf>
    <xf numFmtId="0" fontId="19" fillId="0" borderId="54" xfId="0" applyFont="1" applyBorder="1" applyAlignment="1">
      <alignment horizontal="center" vertical="center" wrapText="1"/>
    </xf>
    <xf numFmtId="0" fontId="18" fillId="0" borderId="0" xfId="0" applyFont="1" applyAlignment="1">
      <alignment horizontal="center" vertical="center" wrapText="1"/>
    </xf>
    <xf numFmtId="0" fontId="13" fillId="0" borderId="0" xfId="0" applyFont="1" applyAlignment="1">
      <alignment horizontal="center" vertical="center"/>
    </xf>
    <xf numFmtId="0" fontId="27" fillId="0" borderId="0" xfId="0" applyFont="1" applyAlignment="1">
      <alignment horizontal="center" vertical="center"/>
    </xf>
    <xf numFmtId="0" fontId="44" fillId="2" borderId="43" xfId="0" applyFont="1" applyFill="1" applyBorder="1" applyAlignment="1">
      <alignment horizontal="left" vertical="center" wrapText="1"/>
    </xf>
    <xf numFmtId="0" fontId="3" fillId="0" borderId="44" xfId="0" applyFont="1" applyBorder="1"/>
    <xf numFmtId="0" fontId="42" fillId="2" borderId="96" xfId="0" applyFont="1" applyFill="1" applyBorder="1" applyAlignment="1">
      <alignment horizontal="center" vertical="center" wrapText="1" readingOrder="1"/>
    </xf>
    <xf numFmtId="0" fontId="3" fillId="0" borderId="95" xfId="0" applyFont="1" applyBorder="1"/>
    <xf numFmtId="0" fontId="3" fillId="0" borderId="100" xfId="0" applyFont="1" applyBorder="1"/>
    <xf numFmtId="0" fontId="40" fillId="15" borderId="81" xfId="0" applyFont="1" applyFill="1" applyBorder="1" applyAlignment="1">
      <alignment horizontal="center" vertical="center" wrapText="1" readingOrder="1"/>
    </xf>
    <xf numFmtId="0" fontId="3" fillId="0" borderId="82" xfId="0" applyFont="1" applyBorder="1"/>
    <xf numFmtId="0" fontId="3" fillId="0" borderId="83" xfId="0" applyFont="1" applyBorder="1"/>
    <xf numFmtId="0" fontId="42" fillId="15" borderId="81" xfId="0" applyFont="1" applyFill="1" applyBorder="1" applyAlignment="1">
      <alignment horizontal="center" vertical="center" wrapText="1" readingOrder="1"/>
    </xf>
    <xf numFmtId="0" fontId="3" fillId="0" borderId="84" xfId="0" applyFont="1" applyBorder="1"/>
    <xf numFmtId="0" fontId="42" fillId="2" borderId="87" xfId="0" applyFont="1" applyFill="1" applyBorder="1" applyAlignment="1">
      <alignment horizontal="center" vertical="center" wrapText="1" readingOrder="1"/>
    </xf>
    <xf numFmtId="0" fontId="3" fillId="0" borderId="91" xfId="0" applyFont="1" applyBorder="1"/>
    <xf numFmtId="0" fontId="3" fillId="0" borderId="97" xfId="0" applyFont="1" applyBorder="1"/>
    <xf numFmtId="0" fontId="42" fillId="2" borderId="88" xfId="0" applyFont="1" applyFill="1" applyBorder="1" applyAlignment="1">
      <alignment horizontal="center" vertical="center" wrapText="1" readingOrder="1"/>
    </xf>
    <xf numFmtId="0" fontId="3" fillId="0" borderId="92" xfId="0" applyFont="1" applyBorder="1"/>
    <xf numFmtId="0" fontId="42" fillId="2" borderId="98" xfId="0" applyFont="1" applyFill="1" applyBorder="1" applyAlignment="1">
      <alignment horizontal="center" vertical="center" wrapText="1" readingOrder="1"/>
    </xf>
    <xf numFmtId="0" fontId="3" fillId="0" borderId="99" xfId="0" applyFont="1" applyBorder="1"/>
    <xf numFmtId="0" fontId="55" fillId="0" borderId="112"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113" xfId="0" applyFont="1" applyBorder="1" applyAlignment="1">
      <alignment horizontal="center" vertical="center" wrapText="1"/>
    </xf>
    <xf numFmtId="0" fontId="59" fillId="0" borderId="109" xfId="0" applyFont="1" applyBorder="1"/>
    <xf numFmtId="0" fontId="59" fillId="0" borderId="110" xfId="0" applyFont="1" applyBorder="1"/>
    <xf numFmtId="0" fontId="59" fillId="0" borderId="111" xfId="0" applyFont="1" applyBorder="1"/>
    <xf numFmtId="0" fontId="0" fillId="0" borderId="109" xfId="0" applyBorder="1" applyAlignment="1">
      <alignment vertical="top" wrapText="1"/>
    </xf>
    <xf numFmtId="0" fontId="0" fillId="0" borderId="110" xfId="0" applyBorder="1" applyAlignment="1">
      <alignment vertical="top" wrapText="1"/>
    </xf>
    <xf numFmtId="0" fontId="0" fillId="0" borderId="111" xfId="0" applyBorder="1" applyAlignment="1">
      <alignment vertical="top" wrapText="1"/>
    </xf>
    <xf numFmtId="0" fontId="59" fillId="0" borderId="112" xfId="0" applyFont="1" applyBorder="1"/>
    <xf numFmtId="0" fontId="59" fillId="0" borderId="52" xfId="0" applyFont="1" applyBorder="1"/>
    <xf numFmtId="0" fontId="59" fillId="0" borderId="113" xfId="0" applyFont="1" applyBorder="1"/>
    <xf numFmtId="0" fontId="55" fillId="0" borderId="112" xfId="0" applyFont="1" applyBorder="1" applyAlignment="1">
      <alignment horizontal="justify" vertical="center" wrapText="1"/>
    </xf>
    <xf numFmtId="0" fontId="55" fillId="0" borderId="52" xfId="0" applyFont="1" applyBorder="1" applyAlignment="1">
      <alignment horizontal="justify" vertical="center" wrapText="1"/>
    </xf>
    <xf numFmtId="0" fontId="55" fillId="0" borderId="113" xfId="0" applyFont="1" applyBorder="1" applyAlignment="1">
      <alignment horizontal="justify" vertical="center" wrapText="1"/>
    </xf>
    <xf numFmtId="0" fontId="55" fillId="0" borderId="107" xfId="0" applyFont="1" applyBorder="1" applyAlignment="1">
      <alignment horizontal="justify" vertical="center" wrapText="1"/>
    </xf>
    <xf numFmtId="0" fontId="55" fillId="0" borderId="106" xfId="0" applyFont="1" applyBorder="1" applyAlignment="1">
      <alignment horizontal="justify" vertical="center" wrapText="1"/>
    </xf>
    <xf numFmtId="0" fontId="55" fillId="0" borderId="108" xfId="0" applyFont="1" applyBorder="1" applyAlignment="1">
      <alignment horizontal="justify" vertical="center" wrapText="1"/>
    </xf>
    <xf numFmtId="0" fontId="59" fillId="0" borderId="117" xfId="0" applyFont="1" applyBorder="1"/>
    <xf numFmtId="0" fontId="59" fillId="0" borderId="118" xfId="0" applyFont="1" applyBorder="1"/>
    <xf numFmtId="0" fontId="51" fillId="0" borderId="118" xfId="0" applyFont="1" applyBorder="1" applyAlignment="1">
      <alignment horizontal="justify" vertical="center" wrapText="1"/>
    </xf>
    <xf numFmtId="0" fontId="51" fillId="0" borderId="118" xfId="0" applyFont="1" applyBorder="1" applyAlignment="1">
      <alignment horizontal="center" vertical="center" wrapText="1"/>
    </xf>
    <xf numFmtId="0" fontId="51" fillId="0" borderId="119" xfId="0" applyFont="1" applyBorder="1" applyAlignment="1">
      <alignment horizontal="center" vertical="center" wrapText="1"/>
    </xf>
    <xf numFmtId="0" fontId="50" fillId="0" borderId="0" xfId="0" applyFont="1" applyAlignment="1">
      <alignment horizontal="center" vertical="center"/>
    </xf>
    <xf numFmtId="0" fontId="50" fillId="0" borderId="114" xfId="0" applyFont="1" applyBorder="1" applyAlignment="1">
      <alignment horizontal="center" vertical="center" wrapText="1"/>
    </xf>
    <xf numFmtId="0" fontId="50" fillId="0" borderId="115" xfId="0" applyFont="1" applyBorder="1" applyAlignment="1">
      <alignment horizontal="center" vertical="center" wrapText="1"/>
    </xf>
    <xf numFmtId="0" fontId="50" fillId="0" borderId="116" xfId="0" applyFont="1" applyBorder="1" applyAlignment="1">
      <alignment horizontal="center" vertical="center" wrapText="1"/>
    </xf>
  </cellXfs>
  <cellStyles count="1">
    <cellStyle name="Normal" xfId="0" builtinId="0"/>
  </cellStyles>
  <dxfs count="136">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FFFF00"/>
          <bgColor rgb="FFFFFF00"/>
        </patternFill>
      </fill>
    </dxf>
    <dxf>
      <fill>
        <patternFill patternType="solid">
          <fgColor rgb="FFE36C09"/>
          <bgColor rgb="FFE36C09"/>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defaultTableStyle="TableStyleMedium2" defaultPivotStyle="PivotStyleLight16">
    <tableStyle name="Tabla Impacto-style" pivot="0" count="3" xr9:uid="{00000000-0011-0000-FFFF-FFFF00000000}">
      <tableStyleElement type="headerRow" dxfId="135"/>
      <tableStyleElement type="firstRowStripe" dxfId="134"/>
      <tableStyleElement type="secondRowStripe" dxfId="1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1551214</xdr:colOff>
      <xdr:row>0</xdr:row>
      <xdr:rowOff>0</xdr:rowOff>
    </xdr:from>
    <xdr:to>
      <xdr:col>2</xdr:col>
      <xdr:colOff>1768929</xdr:colOff>
      <xdr:row>4</xdr:row>
      <xdr:rowOff>181198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3357" y="0"/>
          <a:ext cx="1796143" cy="1269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C%20-%20701575\Downloads\pe_f_055_mapa_riesgos_gestion_FORMULAS%20(1).xlsx" TargetMode="External"/><Relationship Id="rId1" Type="http://schemas.openxmlformats.org/officeDocument/2006/relationships/externalLinkPath" Target="/Users/PC%20-%20701575/Downloads/pe_f_055_mapa_riesgos_gestion_FORMUL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pa final"/>
      <sheetName val="Intructiv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K48"/>
  <sheetViews>
    <sheetView showGridLines="0" tabSelected="1" topLeftCell="L18" zoomScale="70" zoomScaleNormal="70" workbookViewId="0">
      <selection activeCell="P27" sqref="P27"/>
    </sheetView>
  </sheetViews>
  <sheetFormatPr baseColWidth="10" defaultColWidth="12.625" defaultRowHeight="16.5" x14ac:dyDescent="0.2"/>
  <cols>
    <col min="1" max="1" width="3.5" style="103" customWidth="1"/>
    <col min="2" max="2" width="20.625" style="103" customWidth="1"/>
    <col min="3" max="4" width="26.375" style="103" customWidth="1"/>
    <col min="5" max="5" width="36.5" style="103" customWidth="1"/>
    <col min="6" max="6" width="16.625" style="103" customWidth="1"/>
    <col min="7" max="7" width="15.625" style="103" customWidth="1"/>
    <col min="8" max="8" width="14.5" style="103" customWidth="1"/>
    <col min="9" max="9" width="6.5" style="103" customWidth="1"/>
    <col min="10" max="10" width="23.875" style="103" customWidth="1"/>
    <col min="11" max="11" width="26.75" style="103" bestFit="1" customWidth="1"/>
    <col min="12" max="12" width="15.375" style="103" customWidth="1"/>
    <col min="13" max="13" width="5.5" style="103" customWidth="1"/>
    <col min="14" max="14" width="14" style="103" customWidth="1"/>
    <col min="15" max="15" width="5.125" style="103" customWidth="1"/>
    <col min="16" max="16" width="103.375" style="103" customWidth="1"/>
    <col min="17" max="17" width="13.25" style="103" customWidth="1"/>
    <col min="18" max="18" width="6" style="103" customWidth="1"/>
    <col min="19" max="19" width="4.375" style="103" customWidth="1"/>
    <col min="20" max="20" width="4.875" style="103" customWidth="1"/>
    <col min="21" max="21" width="6.25" style="103" customWidth="1"/>
    <col min="22" max="22" width="5.875" style="103" customWidth="1"/>
    <col min="23" max="23" width="6.625" style="103" customWidth="1"/>
    <col min="24" max="24" width="6.375" style="103" customWidth="1"/>
    <col min="25" max="25" width="7.625" style="103" customWidth="1"/>
    <col min="26" max="26" width="6.625" style="103" customWidth="1"/>
    <col min="27" max="27" width="8.125" style="103" customWidth="1"/>
    <col min="28" max="28" width="6.75" style="103" customWidth="1"/>
    <col min="29" max="29" width="7.375" style="103" customWidth="1"/>
    <col min="30" max="30" width="7.375" customWidth="1"/>
    <col min="31" max="31" width="8.375" style="103" customWidth="1"/>
    <col min="32" max="32" width="28.625" style="103" customWidth="1"/>
    <col min="33" max="33" width="16.5" style="103" customWidth="1"/>
    <col min="34" max="34" width="19.875" style="103" customWidth="1"/>
    <col min="35" max="35" width="17.875" style="103" customWidth="1"/>
    <col min="36" max="36" width="18.5" style="103" customWidth="1"/>
    <col min="37" max="37" width="18.375" style="103" customWidth="1"/>
    <col min="38" max="56" width="10" style="103" customWidth="1"/>
    <col min="57" max="16384" width="12.625" style="103"/>
  </cols>
  <sheetData>
    <row r="1" spans="1:37" ht="23.25" thickBot="1" x14ac:dyDescent="0.25">
      <c r="A1" s="145"/>
      <c r="B1" s="146"/>
      <c r="C1" s="146"/>
      <c r="D1" s="147"/>
      <c r="E1" s="154" t="s">
        <v>224</v>
      </c>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5"/>
    </row>
    <row r="2" spans="1:37" ht="24" x14ac:dyDescent="0.2">
      <c r="A2" s="148"/>
      <c r="B2" s="149"/>
      <c r="C2" s="149"/>
      <c r="D2" s="150"/>
      <c r="E2" s="156" t="s">
        <v>225</v>
      </c>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7"/>
    </row>
    <row r="3" spans="1:37" ht="23.25" thickBot="1" x14ac:dyDescent="0.25">
      <c r="A3" s="148"/>
      <c r="B3" s="149"/>
      <c r="C3" s="149"/>
      <c r="D3" s="150"/>
      <c r="E3" s="158" t="s">
        <v>221</v>
      </c>
      <c r="F3" s="158"/>
      <c r="G3" s="158"/>
      <c r="H3" s="158"/>
      <c r="I3" s="158"/>
      <c r="J3" s="158"/>
      <c r="K3" s="158"/>
      <c r="L3" s="158"/>
      <c r="M3" s="158"/>
      <c r="N3" s="159"/>
      <c r="O3" s="159"/>
      <c r="P3" s="159"/>
      <c r="Q3" s="159"/>
      <c r="R3" s="159"/>
      <c r="S3" s="159"/>
      <c r="T3" s="159"/>
      <c r="U3" s="159"/>
      <c r="V3" s="159"/>
      <c r="W3" s="159"/>
      <c r="X3" s="159"/>
      <c r="Y3" s="158"/>
      <c r="Z3" s="158"/>
      <c r="AA3" s="158"/>
      <c r="AB3" s="158"/>
      <c r="AC3" s="158"/>
      <c r="AD3" s="158"/>
      <c r="AE3" s="158"/>
      <c r="AF3" s="158"/>
      <c r="AG3" s="158"/>
      <c r="AH3" s="158"/>
      <c r="AI3" s="158"/>
      <c r="AJ3" s="158"/>
      <c r="AK3" s="160"/>
    </row>
    <row r="4" spans="1:37" x14ac:dyDescent="0.2">
      <c r="A4" s="148"/>
      <c r="B4" s="149"/>
      <c r="C4" s="149"/>
      <c r="D4" s="150"/>
      <c r="E4" s="161" t="s">
        <v>217</v>
      </c>
      <c r="F4" s="162"/>
      <c r="G4" s="162"/>
      <c r="H4" s="162"/>
      <c r="I4" s="162"/>
      <c r="J4" s="162"/>
      <c r="K4" s="162"/>
      <c r="L4" s="162"/>
      <c r="M4" s="162"/>
      <c r="N4" s="161" t="s">
        <v>218</v>
      </c>
      <c r="O4" s="162"/>
      <c r="P4" s="162"/>
      <c r="Q4" s="162"/>
      <c r="R4" s="162"/>
      <c r="S4" s="162"/>
      <c r="T4" s="162"/>
      <c r="U4" s="162"/>
      <c r="V4" s="162"/>
      <c r="W4" s="162"/>
      <c r="X4" s="165"/>
      <c r="Y4" s="162" t="s">
        <v>219</v>
      </c>
      <c r="Z4" s="162"/>
      <c r="AA4" s="162"/>
      <c r="AB4" s="162"/>
      <c r="AC4" s="162"/>
      <c r="AD4" s="162"/>
      <c r="AE4" s="162"/>
      <c r="AF4" s="162"/>
      <c r="AG4" s="165"/>
      <c r="AH4" s="161" t="s">
        <v>220</v>
      </c>
      <c r="AI4" s="162"/>
      <c r="AJ4" s="162"/>
      <c r="AK4" s="165"/>
    </row>
    <row r="5" spans="1:37" ht="18" thickBot="1" x14ac:dyDescent="0.25">
      <c r="A5" s="151"/>
      <c r="B5" s="152"/>
      <c r="C5" s="152"/>
      <c r="D5" s="153"/>
      <c r="E5" s="163">
        <v>45782</v>
      </c>
      <c r="F5" s="164"/>
      <c r="G5" s="164"/>
      <c r="H5" s="164"/>
      <c r="I5" s="164"/>
      <c r="J5" s="164"/>
      <c r="K5" s="164"/>
      <c r="L5" s="164"/>
      <c r="M5" s="164"/>
      <c r="N5" s="166" t="s">
        <v>241</v>
      </c>
      <c r="O5" s="167"/>
      <c r="P5" s="167"/>
      <c r="Q5" s="167"/>
      <c r="R5" s="167"/>
      <c r="S5" s="167"/>
      <c r="T5" s="167"/>
      <c r="U5" s="167"/>
      <c r="V5" s="167"/>
      <c r="W5" s="167"/>
      <c r="X5" s="168"/>
      <c r="Y5" s="164" t="s">
        <v>222</v>
      </c>
      <c r="Z5" s="164"/>
      <c r="AA5" s="164"/>
      <c r="AB5" s="164"/>
      <c r="AC5" s="164"/>
      <c r="AD5" s="164"/>
      <c r="AE5" s="164"/>
      <c r="AF5" s="164"/>
      <c r="AG5" s="169"/>
      <c r="AH5" s="170" t="s">
        <v>223</v>
      </c>
      <c r="AI5" s="164"/>
      <c r="AJ5" s="164"/>
      <c r="AK5" s="169"/>
    </row>
    <row r="6" spans="1:37" x14ac:dyDescent="0.3">
      <c r="AD6" s="116"/>
    </row>
    <row r="7" spans="1:37" x14ac:dyDescent="0.2">
      <c r="A7" s="182" t="s">
        <v>61</v>
      </c>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row>
    <row r="8" spans="1:37" x14ac:dyDescent="0.2">
      <c r="A8" s="182"/>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row>
    <row r="9" spans="1:37" x14ac:dyDescent="0.2">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5"/>
      <c r="AE9" s="104"/>
      <c r="AF9" s="104"/>
      <c r="AG9" s="104"/>
      <c r="AH9" s="104"/>
      <c r="AI9" s="104"/>
      <c r="AJ9" s="104"/>
      <c r="AK9" s="104"/>
    </row>
    <row r="10" spans="1:37" ht="18" x14ac:dyDescent="0.3">
      <c r="A10" s="183" t="s">
        <v>213</v>
      </c>
      <c r="B10" s="184"/>
      <c r="C10" s="185" t="s">
        <v>242</v>
      </c>
      <c r="D10" s="186"/>
      <c r="E10" s="186"/>
      <c r="F10" s="186"/>
      <c r="G10" s="186"/>
      <c r="H10" s="186"/>
      <c r="I10" s="186"/>
      <c r="J10" s="186"/>
      <c r="K10" s="186"/>
      <c r="L10" s="186"/>
      <c r="M10" s="186"/>
      <c r="N10" s="187"/>
      <c r="O10" s="188"/>
      <c r="P10" s="189"/>
      <c r="Q10" s="190"/>
      <c r="R10" s="104"/>
      <c r="S10" s="104"/>
      <c r="T10" s="104"/>
      <c r="U10" s="104"/>
      <c r="V10" s="104"/>
      <c r="W10" s="104"/>
      <c r="X10" s="104"/>
      <c r="Y10" s="104"/>
      <c r="Z10" s="104"/>
      <c r="AA10" s="104"/>
      <c r="AB10" s="104"/>
      <c r="AC10" s="104"/>
      <c r="AD10" s="200"/>
      <c r="AE10" s="104"/>
      <c r="AF10" s="104"/>
      <c r="AG10" s="104"/>
      <c r="AH10" s="104"/>
      <c r="AI10" s="104"/>
      <c r="AJ10" s="104"/>
      <c r="AK10" s="104"/>
    </row>
    <row r="11" spans="1:37" ht="69.75" customHeight="1" x14ac:dyDescent="0.25">
      <c r="A11" s="183" t="s">
        <v>62</v>
      </c>
      <c r="B11" s="184"/>
      <c r="C11" s="191" t="s">
        <v>243</v>
      </c>
      <c r="D11" s="192"/>
      <c r="E11" s="192"/>
      <c r="F11" s="192"/>
      <c r="G11" s="192"/>
      <c r="H11" s="192"/>
      <c r="I11" s="192"/>
      <c r="J11" s="192"/>
      <c r="K11" s="192"/>
      <c r="L11" s="192"/>
      <c r="M11" s="192"/>
      <c r="N11" s="193"/>
      <c r="O11" s="104"/>
      <c r="P11" s="104"/>
      <c r="Q11" s="104"/>
      <c r="R11" s="104"/>
      <c r="S11" s="104"/>
      <c r="T11" s="104"/>
      <c r="U11" s="104"/>
      <c r="V11" s="104"/>
      <c r="W11" s="104"/>
      <c r="X11" s="104"/>
      <c r="Y11" s="104"/>
      <c r="Z11" s="104"/>
      <c r="AA11" s="104"/>
      <c r="AB11" s="104"/>
      <c r="AC11" s="104"/>
      <c r="AD11" s="200"/>
      <c r="AE11" s="104"/>
      <c r="AF11" s="104"/>
      <c r="AG11" s="104"/>
      <c r="AH11" s="104"/>
      <c r="AI11" s="104"/>
      <c r="AJ11" s="104"/>
      <c r="AK11" s="104"/>
    </row>
    <row r="12" spans="1:37" ht="88.5" customHeight="1" x14ac:dyDescent="0.25">
      <c r="A12" s="183" t="s">
        <v>63</v>
      </c>
      <c r="B12" s="184"/>
      <c r="C12" s="191" t="s">
        <v>244</v>
      </c>
      <c r="D12" s="192"/>
      <c r="E12" s="192"/>
      <c r="F12" s="192"/>
      <c r="G12" s="192"/>
      <c r="H12" s="192"/>
      <c r="I12" s="192"/>
      <c r="J12" s="192"/>
      <c r="K12" s="192"/>
      <c r="L12" s="192"/>
      <c r="M12" s="192"/>
      <c r="N12" s="193"/>
      <c r="O12" s="105"/>
      <c r="P12" s="105"/>
      <c r="Q12" s="105"/>
      <c r="R12" s="105"/>
      <c r="S12" s="105"/>
      <c r="T12" s="105"/>
      <c r="U12" s="105"/>
      <c r="V12" s="105"/>
      <c r="W12" s="105"/>
      <c r="X12" s="105"/>
      <c r="Y12" s="105"/>
      <c r="Z12" s="105"/>
      <c r="AA12" s="105"/>
      <c r="AB12" s="105"/>
      <c r="AC12" s="105"/>
      <c r="AD12" s="200"/>
      <c r="AE12" s="105"/>
      <c r="AF12" s="105"/>
      <c r="AG12" s="105"/>
      <c r="AH12" s="105"/>
      <c r="AI12" s="105"/>
      <c r="AJ12" s="105"/>
      <c r="AK12" s="105"/>
    </row>
    <row r="13" spans="1:37" s="118" customFormat="1" x14ac:dyDescent="0.2">
      <c r="A13" s="182" t="s">
        <v>64</v>
      </c>
      <c r="B13" s="174"/>
      <c r="C13" s="174"/>
      <c r="D13" s="174"/>
      <c r="E13" s="174"/>
      <c r="F13" s="174"/>
      <c r="G13" s="174"/>
      <c r="H13" s="182" t="s">
        <v>65</v>
      </c>
      <c r="I13" s="174"/>
      <c r="J13" s="174"/>
      <c r="K13" s="174"/>
      <c r="L13" s="174"/>
      <c r="M13" s="174"/>
      <c r="N13" s="174"/>
      <c r="O13" s="182" t="s">
        <v>66</v>
      </c>
      <c r="P13" s="174"/>
      <c r="Q13" s="174"/>
      <c r="R13" s="174"/>
      <c r="S13" s="174"/>
      <c r="T13" s="174"/>
      <c r="U13" s="174"/>
      <c r="V13" s="174"/>
      <c r="W13" s="174"/>
      <c r="X13" s="182" t="s">
        <v>67</v>
      </c>
      <c r="Y13" s="174"/>
      <c r="Z13" s="174"/>
      <c r="AA13" s="174"/>
      <c r="AB13" s="174"/>
      <c r="AC13" s="174"/>
      <c r="AD13" s="174"/>
      <c r="AE13" s="174"/>
      <c r="AF13" s="182" t="s">
        <v>68</v>
      </c>
      <c r="AG13" s="174"/>
      <c r="AH13" s="174"/>
      <c r="AI13" s="174"/>
      <c r="AJ13" s="174"/>
      <c r="AK13" s="174"/>
    </row>
    <row r="14" spans="1:37" s="118" customFormat="1" x14ac:dyDescent="0.2">
      <c r="A14" s="195" t="s">
        <v>69</v>
      </c>
      <c r="B14" s="182" t="s">
        <v>15</v>
      </c>
      <c r="C14" s="194" t="s">
        <v>17</v>
      </c>
      <c r="D14" s="194" t="s">
        <v>19</v>
      </c>
      <c r="E14" s="182" t="s">
        <v>21</v>
      </c>
      <c r="F14" s="194" t="s">
        <v>23</v>
      </c>
      <c r="G14" s="194" t="s">
        <v>70</v>
      </c>
      <c r="H14" s="194" t="s">
        <v>71</v>
      </c>
      <c r="I14" s="182" t="s">
        <v>72</v>
      </c>
      <c r="J14" s="194" t="s">
        <v>73</v>
      </c>
      <c r="K14" s="194" t="s">
        <v>74</v>
      </c>
      <c r="L14" s="194" t="s">
        <v>75</v>
      </c>
      <c r="M14" s="182" t="s">
        <v>72</v>
      </c>
      <c r="N14" s="194" t="s">
        <v>29</v>
      </c>
      <c r="O14" s="196" t="s">
        <v>76</v>
      </c>
      <c r="P14" s="194" t="s">
        <v>31</v>
      </c>
      <c r="Q14" s="194" t="s">
        <v>33</v>
      </c>
      <c r="R14" s="194" t="s">
        <v>77</v>
      </c>
      <c r="S14" s="174"/>
      <c r="T14" s="174"/>
      <c r="U14" s="174"/>
      <c r="V14" s="174"/>
      <c r="W14" s="174"/>
      <c r="X14" s="196" t="s">
        <v>78</v>
      </c>
      <c r="Y14" s="196" t="s">
        <v>79</v>
      </c>
      <c r="Z14" s="196" t="s">
        <v>72</v>
      </c>
      <c r="AA14" s="196" t="s">
        <v>80</v>
      </c>
      <c r="AB14" s="196" t="s">
        <v>72</v>
      </c>
      <c r="AC14" s="196" t="s">
        <v>240</v>
      </c>
      <c r="AD14" s="204" t="s">
        <v>81</v>
      </c>
      <c r="AE14" s="196" t="s">
        <v>50</v>
      </c>
      <c r="AF14" s="194" t="s">
        <v>68</v>
      </c>
      <c r="AG14" s="194" t="s">
        <v>82</v>
      </c>
      <c r="AH14" s="194" t="s">
        <v>83</v>
      </c>
      <c r="AI14" s="194" t="s">
        <v>84</v>
      </c>
      <c r="AJ14" s="194" t="s">
        <v>85</v>
      </c>
      <c r="AK14" s="194" t="s">
        <v>54</v>
      </c>
    </row>
    <row r="15" spans="1:37" s="118" customFormat="1" ht="98.25" x14ac:dyDescent="0.2">
      <c r="A15" s="174"/>
      <c r="B15" s="174"/>
      <c r="C15" s="174"/>
      <c r="D15" s="174"/>
      <c r="E15" s="174"/>
      <c r="F15" s="174"/>
      <c r="G15" s="174"/>
      <c r="H15" s="174"/>
      <c r="I15" s="174"/>
      <c r="J15" s="174"/>
      <c r="K15" s="174"/>
      <c r="L15" s="174"/>
      <c r="M15" s="174"/>
      <c r="N15" s="174"/>
      <c r="O15" s="174"/>
      <c r="P15" s="174"/>
      <c r="Q15" s="174"/>
      <c r="R15" s="119" t="s">
        <v>86</v>
      </c>
      <c r="S15" s="119" t="s">
        <v>87</v>
      </c>
      <c r="T15" s="119" t="s">
        <v>88</v>
      </c>
      <c r="U15" s="119" t="s">
        <v>89</v>
      </c>
      <c r="V15" s="119" t="s">
        <v>90</v>
      </c>
      <c r="W15" s="119" t="s">
        <v>91</v>
      </c>
      <c r="X15" s="174"/>
      <c r="Y15" s="174"/>
      <c r="Z15" s="174"/>
      <c r="AA15" s="174"/>
      <c r="AB15" s="174"/>
      <c r="AC15" s="174"/>
      <c r="AD15" s="205"/>
      <c r="AE15" s="174"/>
      <c r="AF15" s="174"/>
      <c r="AG15" s="174"/>
      <c r="AH15" s="174"/>
      <c r="AI15" s="174"/>
      <c r="AJ15" s="174"/>
      <c r="AK15" s="174"/>
    </row>
    <row r="16" spans="1:37" ht="150" customHeight="1" x14ac:dyDescent="0.2">
      <c r="A16" s="197">
        <v>1</v>
      </c>
      <c r="B16" s="181" t="s">
        <v>197</v>
      </c>
      <c r="C16" s="178" t="s">
        <v>245</v>
      </c>
      <c r="D16" s="181" t="s">
        <v>246</v>
      </c>
      <c r="E16" s="181" t="s">
        <v>247</v>
      </c>
      <c r="F16" s="181" t="s">
        <v>203</v>
      </c>
      <c r="G16" s="177">
        <v>500</v>
      </c>
      <c r="H16" s="175" t="str">
        <f>IF(G16&lt;=0,"",IF(G16&lt;=2,"Muy Baja",IF(G16&lt;=24,"Baja",IF(G16&lt;=500,"Media",IF(G16&lt;=5000,"Alta","Muy Alta")))))</f>
        <v>Media</v>
      </c>
      <c r="I16" s="173">
        <f>IF(H16="","",IF(H16="Muy Baja",0.2,IF(H16="Baja",0.4,IF(H16="Media",0.6,IF(H16="Alta",0.8,IF(H16="Muy Alta",1,))))))</f>
        <v>0.6</v>
      </c>
      <c r="J16" s="171" t="s">
        <v>152</v>
      </c>
      <c r="K16" s="173" t="str">
        <f>IF(NOT(ISERROR(MATCH(J16,'[1]Tabla Impacto'!$B$221:$B$223,0))),'[1]Tabla Impacto'!$F$223&amp;"Por favor no seleccionar los criterios de impacto(Afectación Económica o presupuestal y Pérdida Reputacional)",J16)</f>
        <v xml:space="preserve">     Entre 100 y 500 SMLMV </v>
      </c>
      <c r="L16" s="175" t="str">
        <f>IF(OR(K16='[1]Tabla Impacto'!$C$11,K16='[1]Tabla Impacto'!$D$11),"Leve",IF(OR(K16='[1]Tabla Impacto'!$C$12,K16='[1]Tabla Impacto'!$D$12),"Menor",IF(OR(K16='[1]Tabla Impacto'!$C$13,K16='[1]Tabla Impacto'!$D$13),"Moderado",IF(OR(K16='[1]Tabla Impacto'!$C$14,K16='[1]Tabla Impacto'!$D$14),"Mayor",IF(OR(K16='[1]Tabla Impacto'!$C$15,K16='[1]Tabla Impacto'!$D$15),"Catastrófico","")))))</f>
        <v>Mayor</v>
      </c>
      <c r="M16" s="173">
        <f>IF(L16="","",IF(L16="Leve",0.2,IF(L16="Menor",0.4,IF(L16="Moderado",0.6,IF(L16="Mayor",0.8,IF(L16="Catastrófico",1,))))))</f>
        <v>0.8</v>
      </c>
      <c r="N16" s="176"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06">
        <v>1</v>
      </c>
      <c r="P16" s="130" t="s">
        <v>248</v>
      </c>
      <c r="Q16" s="110" t="str">
        <f t="shared" ref="Q16:Q43" si="0">IF(OR(R16="Preventivo",R16="Detectivo"),"Probabilidad",IF(R16="Correctivo","Impacto",""))</f>
        <v>Probabilidad</v>
      </c>
      <c r="R16" s="108" t="s">
        <v>167</v>
      </c>
      <c r="S16" s="108" t="s">
        <v>175</v>
      </c>
      <c r="T16" s="111" t="str">
        <f t="shared" ref="T16:T40" si="1">IF(AND(R16="Preventivo",S16="Automático"),"50%",IF(AND(R16="Preventivo",S16="Manual"),"40%",IF(AND(R16="Detectivo",S16="Automático"),"40%",IF(AND(R16="Detectivo",S16="Manual"),"30%",IF(AND(R16="Correctivo",S16="Automático"),"35%",IF(AND(R16="Correctivo",S16="Manual"),"25%",""))))))</f>
        <v>40%</v>
      </c>
      <c r="U16" s="131" t="s">
        <v>178</v>
      </c>
      <c r="V16" s="131" t="s">
        <v>183</v>
      </c>
      <c r="W16" s="131" t="s">
        <v>187</v>
      </c>
      <c r="X16" s="112">
        <f>IFERROR(IF(Q16="Probabilidad",(I16-(+I16*T16)),IF(Q16="Impacto",I16,"")),"")</f>
        <v>0.36</v>
      </c>
      <c r="Y16" s="113" t="str">
        <f t="shared" ref="Y16:Y43" si="2">IFERROR(IF(X16="","",IF(X16&lt;=0.2,"Muy Baja",IF(X16&lt;=0.4,"Baja",IF(X16&lt;=0.6,"Media",IF(X16&lt;=0.8,"Alta","Muy Alta"))))),"")</f>
        <v>Baja</v>
      </c>
      <c r="Z16" s="111">
        <f t="shared" ref="Z16:Z43" si="3">+X16</f>
        <v>0.36</v>
      </c>
      <c r="AA16" s="113" t="str">
        <f t="shared" ref="AA16:AA43" si="4">IFERROR(IF(AB16="","",IF(AB16&lt;=0.2,"Leve",IF(AB16&lt;=0.4,"Menor",IF(AB16&lt;=0.6,"Moderado",IF(AB16&lt;=0.8,"Mayor","Catastrófico"))))),"")</f>
        <v>Mayor</v>
      </c>
      <c r="AB16" s="111">
        <f>IFERROR(IF(Q16="Impacto",(M16-(+M16*T16)),IF(Q16="Probabilidad",M16,"")),"")</f>
        <v>0.8</v>
      </c>
      <c r="AC16" s="114" t="str">
        <f t="shared" ref="AC16:AC43" si="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201" t="str">
        <f>IFERROR(IF(OR(AND(AC16="Bajo",AC17="Bajo",AC18="Bajo"),AND(AC16="Bajo",AC17="Bajo",AC18=""),AND(AC16="Bajo",AC17="",AC18="")),"Bajo",IF(OR(AND(AC16="Bajo",AC17="Bajo",AC18="Moderado"),AND(AC16="Bajo",AC17="Moderado",AC18="Moderado"),AND(AC16="Moderado",AC17="Moderado",AC18="Moderado"),AND(AC16="Bajo",AC17="Moderado",AC18=""),AND(AC16="Moderado",AC17="Bajo",AC18=""),AND(AC16="Moderado",AC17="Moderado",AC18=""),AND(AC16="Moderado",AC17="",AC18="")),"Moderado",IF(OR(AND(AC16="Bajo",AC17="Bajo",AC18="Alto"),AND(AC16="Bajo",AC17="Moderado",AC18="Alto"),AND(AC16="Moderado",AC17="Bajo",AC18="Alto"),AND(AC16="Moderado",AC17="Alto",AC18="Bajo"),AND(AC16="Moderado",AC17="Moderado",AC18="Alto"),AND(AC16="Alto",AC17="Bajo",AC18="Bajo"),AND(AC16="Alto",AC17="Moderado",AC18="Bajo"),AND(AC16="Alto",AC17="Moderado",AC18="Moderado"),AND(AC16="Alto",AC17="Alto",AC18="Bajo"),AND(AC16="Alto",AC17="Alto",AC18="Moderado"),AND(AC16="Alto",AC17="Alto",AC18="Alto"),AND(AC16="Alto",AC17="Bajo",AC18=""),AND(AC16="Alto",AC17="Moderado",AC18=""),AND(AC16="Alto",AC17="Alto",AC18=""),AND(AC16="Bajo",AC17="Alto",AC18=""),AND(AC16="Moderado",AC17="Alto",AC18=""),AND(AC16="Alto",AC17="",AC18="")),"Alto",IF(OR(AND(AC16="Bajo",AC17="Bajo",AC18="Extremo"),AND(AC16="Bajo",AC17="Moderado",AC18="Extremo"),AND(AC16="Bajo",AC17="Alto",AC18="Extremo"),AND(AC16="Moderado",AC17="Bajo",AC18="Extremo"),AND(AC16="Moderado",AC17="Alto",AC18="Extremo"),AND(AC16="Moderado",AC17="Moderado",AC18="Extremo"),AND(AC16="Alto",AC17="Bajo",AC18="Extremo"),AND(AC16="Alto",AC17="Moderado",AC18="Extremo"),AND(AC16="Alto",AC17="Alto",AC18="Extremo"),AND(AC16="Extremo",AC17="Bajo",AC18="Bajo"),AND(AC16="Extremo",AC17="Bajo",AC18="Moderado"),AND(AC16="Extremo",AC17="Bajo",AC18="Alto"),AND(AC16="Extremo",AC17="Moderado",AC18="Bajo"),AND(AC16="Extremo",AC17="Moderado",AC18="Moderado"),AND(AC16="Extremo",AC17="Moderado",AC18="Alto"),AND(AC16="Extremo",AC17="Alto",AC18="Bajo"),AND(AC16="Extremo",AC17="Alto",AC18="Moderado"),AND(AC16="Extremo",AC17="Alto",AC18="Alto"),AND(AC16="Extremo",AC17="Extremo",AC18="Bajo"),AND(AC16="Extremo",AC17="Extremo",AC18="Moderado"),AND(AC16="Extremo",AC17="Extremo",AC18="Alto"),AND(AC16="Extremo",AC17="Extremo",AC18="Extremo"),AND(AC16="Extremo",AC17="Bajo",AC18=""),AND(AC16="Extremo",AC17="Moderado",AC18=""),AND(AC16="Extremo",AC17="Alto",AC18=""),AND(AC16="Extremo",AC17="",AC18="")),"Extremo")))),"")</f>
        <v>Alto</v>
      </c>
      <c r="AE16" s="142" t="s">
        <v>194</v>
      </c>
      <c r="AF16" s="107" t="s">
        <v>251</v>
      </c>
      <c r="AG16" s="135" t="s">
        <v>250</v>
      </c>
      <c r="AH16" s="132">
        <v>45659</v>
      </c>
      <c r="AI16" s="134">
        <v>46021</v>
      </c>
      <c r="AJ16" s="133" t="s">
        <v>259</v>
      </c>
      <c r="AK16" s="106"/>
    </row>
    <row r="17" spans="1:37" ht="60.75" customHeight="1" x14ac:dyDescent="0.2">
      <c r="A17" s="198"/>
      <c r="B17" s="172"/>
      <c r="C17" s="179"/>
      <c r="D17" s="181"/>
      <c r="E17" s="172"/>
      <c r="F17" s="172"/>
      <c r="G17" s="172"/>
      <c r="H17" s="174"/>
      <c r="I17" s="174"/>
      <c r="J17" s="172"/>
      <c r="K17" s="174"/>
      <c r="L17" s="174"/>
      <c r="M17" s="174"/>
      <c r="N17" s="174"/>
      <c r="O17" s="106">
        <v>2</v>
      </c>
      <c r="P17" s="130" t="s">
        <v>261</v>
      </c>
      <c r="Q17" s="110" t="str">
        <f t="shared" si="0"/>
        <v>Probabilidad</v>
      </c>
      <c r="R17" s="108" t="s">
        <v>167</v>
      </c>
      <c r="S17" s="108" t="s">
        <v>175</v>
      </c>
      <c r="T17" s="111" t="str">
        <f t="shared" ref="T17:T18" si="6">IF(AND(R17="Preventivo",S17="Automático"),"50%",IF(AND(R17="Preventivo",S17="Manual"),"40%",IF(AND(R17="Detectivo",S17="Automático"),"40%",IF(AND(R17="Detectivo",S17="Manual"),"30%",IF(AND(R17="Correctivo",S17="Automático"),"35%",IF(AND(R17="Correctivo",S17="Manual"),"25%",""))))))</f>
        <v>40%</v>
      </c>
      <c r="U17" s="131" t="s">
        <v>178</v>
      </c>
      <c r="V17" s="131" t="s">
        <v>183</v>
      </c>
      <c r="W17" s="131" t="s">
        <v>187</v>
      </c>
      <c r="X17" s="112">
        <f>IFERROR(IF(AND(Q16="Probabilidad",Q17="Probabilidad"),(Z16-(+Z16*T17)),IF(Q17="Probabilidad",(I16-(+I16*T17)),IF(Q17="Impacto",Z16,""))),"")</f>
        <v>0.216</v>
      </c>
      <c r="Y17" s="113" t="str">
        <f t="shared" si="2"/>
        <v>Baja</v>
      </c>
      <c r="Z17" s="111">
        <f t="shared" si="3"/>
        <v>0.216</v>
      </c>
      <c r="AA17" s="113" t="str">
        <f t="shared" si="4"/>
        <v>Mayor</v>
      </c>
      <c r="AB17" s="111">
        <f>IFERROR(IF(AND(Q16="Impacto",Q17="Impacto"),(AB16-(+AB16*T17)),IF(Q17="Impacto",($M$16-(+$M$16*T17)),IF(Q17="Probabilidad",AB16,""))),"")</f>
        <v>0.8</v>
      </c>
      <c r="AC17" s="114" t="str">
        <f t="shared" si="5"/>
        <v>Alto</v>
      </c>
      <c r="AD17" s="202"/>
      <c r="AE17" s="143"/>
      <c r="AF17" s="107"/>
      <c r="AG17" s="135" t="s">
        <v>250</v>
      </c>
      <c r="AH17" s="134">
        <v>45659</v>
      </c>
      <c r="AI17" s="137">
        <v>46021</v>
      </c>
      <c r="AJ17" s="133" t="s">
        <v>259</v>
      </c>
      <c r="AK17" s="106"/>
    </row>
    <row r="18" spans="1:37" ht="174.75" customHeight="1" x14ac:dyDescent="0.2">
      <c r="A18" s="199"/>
      <c r="B18" s="172"/>
      <c r="C18" s="180"/>
      <c r="D18" s="181"/>
      <c r="E18" s="172"/>
      <c r="F18" s="172"/>
      <c r="G18" s="172"/>
      <c r="H18" s="174"/>
      <c r="I18" s="174"/>
      <c r="J18" s="172"/>
      <c r="K18" s="174"/>
      <c r="L18" s="174"/>
      <c r="M18" s="174"/>
      <c r="N18" s="174"/>
      <c r="O18" s="106">
        <v>3</v>
      </c>
      <c r="P18" s="130" t="s">
        <v>249</v>
      </c>
      <c r="Q18" s="110" t="str">
        <f t="shared" si="0"/>
        <v>Probabilidad</v>
      </c>
      <c r="R18" s="108" t="s">
        <v>167</v>
      </c>
      <c r="S18" s="108" t="s">
        <v>175</v>
      </c>
      <c r="T18" s="111" t="str">
        <f t="shared" si="6"/>
        <v>40%</v>
      </c>
      <c r="U18" s="131" t="s">
        <v>178</v>
      </c>
      <c r="V18" s="131" t="s">
        <v>183</v>
      </c>
      <c r="W18" s="131" t="s">
        <v>187</v>
      </c>
      <c r="X18" s="112">
        <f>IFERROR(IF(AND(Q17="Probabilidad",Q18="Probabilidad"),(Z17-(+Z17*T18)),IF(AND(Q17="Impacto",Q18="Probabilidad"),(Z16-(+Z16*T18)),IF(Q18="Impacto",Z17,""))),"")</f>
        <v>0.12959999999999999</v>
      </c>
      <c r="Y18" s="113" t="str">
        <f t="shared" si="2"/>
        <v>Muy Baja</v>
      </c>
      <c r="Z18" s="111">
        <f t="shared" si="3"/>
        <v>0.12959999999999999</v>
      </c>
      <c r="AA18" s="113" t="str">
        <f t="shared" si="4"/>
        <v>Mayor</v>
      </c>
      <c r="AB18" s="111">
        <f>IFERROR(IF(AND(Q17="Impacto",Q18="Impacto"),(AB17-(+AB17*T18)),IF(AND(Q17="Probabilidad",Q18="Impacto"),(AB16-(+AB16*T18)),IF(Q18="Probabilidad",AB17,""))),"")</f>
        <v>0.8</v>
      </c>
      <c r="AC18" s="114" t="str">
        <f t="shared" si="5"/>
        <v>Alto</v>
      </c>
      <c r="AD18" s="203"/>
      <c r="AE18" s="144"/>
      <c r="AF18" s="107"/>
      <c r="AG18" s="135" t="s">
        <v>250</v>
      </c>
      <c r="AH18" s="134">
        <v>45659</v>
      </c>
      <c r="AI18" s="136">
        <v>46021</v>
      </c>
      <c r="AJ18" s="133" t="s">
        <v>259</v>
      </c>
      <c r="AK18" s="106"/>
    </row>
    <row r="19" spans="1:37" ht="24.75" hidden="1" customHeight="1" x14ac:dyDescent="0.2">
      <c r="A19" s="122"/>
      <c r="B19" s="124"/>
      <c r="C19" s="124"/>
      <c r="D19" s="124"/>
      <c r="E19" s="124"/>
      <c r="F19" s="124"/>
      <c r="G19" s="129"/>
      <c r="H19" s="127" t="str">
        <f>IF(G19&lt;=0,"",IF(G19&lt;=2,"Muy Baja",IF(G19&lt;=24,"Baja",IF(G19&lt;=500,"Media",IF(G19&lt;=5000,"Alta","Muy Alta")))))</f>
        <v/>
      </c>
      <c r="I19" s="126" t="str">
        <f>IF(H19="","",IF(H19="Muy Baja",0.2,IF(H19="Baja",0.4,IF(H19="Media",0.6,IF(H19="Alta",0.8,IF(H19="Muy Alta",1,))))))</f>
        <v/>
      </c>
      <c r="J19" s="125"/>
      <c r="K19" s="126">
        <f ca="1">IF(NOT(ISERROR(MATCH(J19,'Tabla Impacto'!$B$221:$B$223,0))),'Tabla Impacto'!$F$223&amp;"Por favor no seleccionar los criterios de impacto(Afectación Económica o presupuestal y Pérdida Reputacional)",J19)</f>
        <v>0</v>
      </c>
      <c r="L19" s="127" t="str">
        <f ca="1">IF(OR(K19='Tabla Impacto'!$C$11,K19='Tabla Impacto'!$D$11),"Leve",IF(OR(K19='Tabla Impacto'!$C$12,K19='Tabla Impacto'!$D$12),"Menor",IF(OR(K19='Tabla Impacto'!$C$13,K19='Tabla Impacto'!$D$13),"Moderado",IF(OR(K19='Tabla Impacto'!$C$14,K19='Tabla Impacto'!$D$14),"Mayor",IF(OR(K19='Tabla Impacto'!$C$15,K19='Tabla Impacto'!$D$15),"Catastrófico","")))))</f>
        <v/>
      </c>
      <c r="M19" s="126" t="str">
        <f ca="1">IF(L19="","",IF(L19="Leve",0.2,IF(L19="Menor",0.4,IF(L19="Moderado",0.6,IF(L19="Mayor",0.8,IF(L19="Catastrófico",1,))))))</f>
        <v/>
      </c>
      <c r="N19" s="128"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06"/>
      <c r="P19" s="130"/>
      <c r="Q19" s="110" t="str">
        <f t="shared" si="0"/>
        <v/>
      </c>
      <c r="R19" s="108"/>
      <c r="S19" s="108"/>
      <c r="T19" s="111" t="str">
        <f t="shared" si="1"/>
        <v/>
      </c>
      <c r="U19" s="108"/>
      <c r="V19" s="108"/>
      <c r="W19" s="108"/>
      <c r="X19" s="112" t="str">
        <f t="shared" ref="X19:X40" si="7">IFERROR(IF(Q19="Probabilidad",(I19-(+I19*T19)),IF(Q19="Impacto",I19,"")),"")</f>
        <v/>
      </c>
      <c r="Y19" s="113" t="str">
        <f t="shared" si="2"/>
        <v/>
      </c>
      <c r="Z19" s="111" t="str">
        <f t="shared" si="3"/>
        <v/>
      </c>
      <c r="AA19" s="113" t="str">
        <f t="shared" si="4"/>
        <v/>
      </c>
      <c r="AB19" s="111" t="str">
        <f t="shared" ref="AB19:AB40" si="8">IFERROR(IF(Q19="Impacto",(M19-(+M19*T19)),IF(Q19="Probabilidad",M19,"")),"")</f>
        <v/>
      </c>
      <c r="AC19" s="114" t="str">
        <f t="shared" si="5"/>
        <v/>
      </c>
      <c r="AD19" s="123"/>
      <c r="AE19" s="108"/>
      <c r="AF19" s="107"/>
      <c r="AG19" s="107"/>
      <c r="AH19" s="109"/>
      <c r="AI19" s="109"/>
      <c r="AJ19" s="107"/>
      <c r="AK19" s="106"/>
    </row>
    <row r="20" spans="1:37" ht="23.25" hidden="1" customHeight="1" x14ac:dyDescent="0.2">
      <c r="A20" s="115"/>
      <c r="B20" s="124"/>
      <c r="C20" s="124"/>
      <c r="D20" s="124"/>
      <c r="E20" s="124"/>
      <c r="F20" s="124"/>
      <c r="G20" s="129"/>
      <c r="H20" s="127" t="str">
        <f>IF(G20&lt;=0,"",IF(G20&lt;=2,"Muy Baja",IF(G20&lt;=24,"Baja",IF(G20&lt;=500,"Media",IF(G20&lt;=5000,"Alta","Muy Alta")))))</f>
        <v/>
      </c>
      <c r="I20" s="126" t="str">
        <f>IF(H20="","",IF(H20="Muy Baja",0.2,IF(H20="Baja",0.4,IF(H20="Media",0.6,IF(H20="Alta",0.8,IF(H20="Muy Alta",1,))))))</f>
        <v/>
      </c>
      <c r="J20" s="125"/>
      <c r="K20" s="126">
        <f ca="1">IF(NOT(ISERROR(MATCH(J20,'Tabla Impacto'!$B$221:$B$223,0))),'Tabla Impacto'!$F$223&amp;"Por favor no seleccionar los criterios de impacto(Afectación Económica o presupuestal y Pérdida Reputacional)",J20)</f>
        <v>0</v>
      </c>
      <c r="L20" s="127" t="str">
        <f ca="1">IF(OR(K20='Tabla Impacto'!$C$11,K20='Tabla Impacto'!$D$11),"Leve",IF(OR(K20='Tabla Impacto'!$C$12,K20='Tabla Impacto'!$D$12),"Menor",IF(OR(K20='Tabla Impacto'!$C$13,K20='Tabla Impacto'!$D$13),"Moderado",IF(OR(K20='Tabla Impacto'!$C$14,K20='Tabla Impacto'!$D$14),"Mayor",IF(OR(K20='Tabla Impacto'!$C$15,K20='Tabla Impacto'!$D$15),"Catastrófico","")))))</f>
        <v/>
      </c>
      <c r="M20" s="126" t="str">
        <f ca="1">IF(L20="","",IF(L20="Leve",0.2,IF(L20="Menor",0.4,IF(L20="Moderado",0.6,IF(L20="Mayor",0.8,IF(L20="Catastrófico",1,))))))</f>
        <v/>
      </c>
      <c r="N20" s="128" t="str">
        <f ca="1">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
      </c>
      <c r="O20" s="106"/>
      <c r="P20" s="130"/>
      <c r="Q20" s="110" t="str">
        <f t="shared" si="0"/>
        <v/>
      </c>
      <c r="R20" s="108"/>
      <c r="S20" s="108"/>
      <c r="T20" s="111" t="str">
        <f t="shared" si="1"/>
        <v/>
      </c>
      <c r="U20" s="108"/>
      <c r="V20" s="108"/>
      <c r="W20" s="108"/>
      <c r="X20" s="112" t="str">
        <f t="shared" si="7"/>
        <v/>
      </c>
      <c r="Y20" s="113" t="str">
        <f t="shared" si="2"/>
        <v/>
      </c>
      <c r="Z20" s="111" t="str">
        <f t="shared" si="3"/>
        <v/>
      </c>
      <c r="AA20" s="113" t="str">
        <f t="shared" si="4"/>
        <v/>
      </c>
      <c r="AB20" s="111" t="str">
        <f t="shared" si="8"/>
        <v/>
      </c>
      <c r="AC20" s="114" t="str">
        <f t="shared" si="5"/>
        <v/>
      </c>
      <c r="AD20" s="121"/>
      <c r="AE20" s="108"/>
      <c r="AF20" s="107"/>
      <c r="AG20" s="107"/>
      <c r="AH20" s="109"/>
      <c r="AI20" s="109"/>
      <c r="AJ20" s="107"/>
      <c r="AK20" s="106"/>
    </row>
    <row r="21" spans="1:37" ht="115.5" customHeight="1" x14ac:dyDescent="0.2">
      <c r="A21" s="177">
        <v>2</v>
      </c>
      <c r="B21" s="178" t="s">
        <v>195</v>
      </c>
      <c r="C21" s="181" t="s">
        <v>252</v>
      </c>
      <c r="D21" s="181" t="s">
        <v>253</v>
      </c>
      <c r="E21" s="181" t="s">
        <v>254</v>
      </c>
      <c r="F21" s="181" t="s">
        <v>203</v>
      </c>
      <c r="G21" s="177">
        <v>500</v>
      </c>
      <c r="H21" s="175" t="str">
        <f>IF(G21&lt;=0,"",IF(G21&lt;=2,"Muy Baja",IF(G21&lt;=24,"Baja",IF(G21&lt;=500,"Media",IF(G21&lt;=5000,"Alta","Muy Alta")))))</f>
        <v>Media</v>
      </c>
      <c r="I21" s="173">
        <f>IF(H21="","",IF(H21="Muy Baja",0.2,IF(H21="Baja",0.4,IF(H21="Media",0.6,IF(H21="Alta",0.8,IF(H21="Muy Alta",1,))))))</f>
        <v>0.6</v>
      </c>
      <c r="J21" s="171" t="s">
        <v>151</v>
      </c>
      <c r="K21" s="173" t="str">
        <f>IF(NOT(ISERROR(MATCH(J21,'[1]Tabla Impacto'!$B$221:$B$223,0))),'[1]Tabla Impacto'!$F$223&amp;"Por favor no seleccionar los criterios de impacto(Afectación Económica o presupuestal y Pérdida Reputacional)",J21)</f>
        <v xml:space="preserve">     El riesgo afecta la imagen de la entidad con algunos usuarios de relevancia frente al logro de los objetivos</v>
      </c>
      <c r="L21" s="175" t="str">
        <f>IF(OR(K21='[1]Tabla Impacto'!$C$11,K21='[1]Tabla Impacto'!$D$11),"Leve",IF(OR(K21='[1]Tabla Impacto'!$C$12,K21='[1]Tabla Impacto'!$D$12),"Menor",IF(OR(K21='[1]Tabla Impacto'!$C$13,K21='[1]Tabla Impacto'!$D$13),"Moderado",IF(OR(K21='[1]Tabla Impacto'!$C$14,K21='[1]Tabla Impacto'!$D$14),"Mayor",IF(OR(K21='[1]Tabla Impacto'!$C$15,K21='[1]Tabla Impacto'!$D$15),"Catastrófico","")))))</f>
        <v>Moderado</v>
      </c>
      <c r="M21" s="173">
        <f>IF(L21="","",IF(L21="Leve",0.2,IF(L21="Menor",0.4,IF(L21="Moderado",0.6,IF(L21="Mayor",0.8,IF(L21="Catastrófico",1,))))))</f>
        <v>0.6</v>
      </c>
      <c r="N21" s="176"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Moderado</v>
      </c>
      <c r="O21" s="106">
        <v>1</v>
      </c>
      <c r="P21" s="138" t="s">
        <v>262</v>
      </c>
      <c r="Q21" s="110" t="str">
        <f t="shared" si="0"/>
        <v>Probabilidad</v>
      </c>
      <c r="R21" s="108" t="s">
        <v>167</v>
      </c>
      <c r="S21" s="108" t="s">
        <v>175</v>
      </c>
      <c r="T21" s="111" t="str">
        <f t="shared" ref="T21:T23" si="9">IF(AND(R21="Preventivo",S21="Automático"),"50%",IF(AND(R21="Preventivo",S21="Manual"),"40%",IF(AND(R21="Detectivo",S21="Automático"),"40%",IF(AND(R21="Detectivo",S21="Manual"),"30%",IF(AND(R21="Correctivo",S21="Automático"),"35%",IF(AND(R21="Correctivo",S21="Manual"),"25%",""))))))</f>
        <v>40%</v>
      </c>
      <c r="U21" s="131" t="s">
        <v>178</v>
      </c>
      <c r="V21" s="131" t="s">
        <v>183</v>
      </c>
      <c r="W21" s="131" t="s">
        <v>187</v>
      </c>
      <c r="X21" s="112">
        <f>IFERROR(IF(Q21="Probabilidad",(I21-(+I21*T21)),IF(Q21="Impacto",I21,"")),"")</f>
        <v>0.36</v>
      </c>
      <c r="Y21" s="113" t="str">
        <f t="shared" si="2"/>
        <v>Baja</v>
      </c>
      <c r="Z21" s="111">
        <f t="shared" si="3"/>
        <v>0.36</v>
      </c>
      <c r="AA21" s="113" t="str">
        <f t="shared" si="4"/>
        <v>Moderado</v>
      </c>
      <c r="AB21" s="111">
        <f>IFERROR(IF(Q21="Impacto",(M21-(+M21*T21)),IF(Q21="Probabilidad",M21,"")),"")</f>
        <v>0.6</v>
      </c>
      <c r="AC21" s="114" t="str">
        <f t="shared" si="5"/>
        <v>Moderado</v>
      </c>
      <c r="AD21" s="201" t="str">
        <f>IFERROR(IF(OR(AND(AC21="Bajo",AC22="Bajo",AC23="Bajo"),AND(AC21="Bajo",AC22="Bajo",AC23=""),AND(AC21="Bajo",AC22="",AC23="")),"Bajo",IF(OR(AND(AC21="Bajo",AC22="Bajo",AC23="Moderado"),AND(AC21="Bajo",AC22="Moderado",AC23="Moderado"),AND(AC21="Moderado",AC22="Moderado",AC23="Moderado"),,AND(AC21="Moderado",AC22="Bajo",AC23="Bajo"),AND(AC21="Bajo",AC22="Moderado",AC23=""),AND(AC21="Moderado",AC22="Bajo",AC23=""),AND(AC21="Moderado",AC22="Moderado",AC23=""),AND(AC21="Moderado",AC22="",AC23="")),"Moderado",IF(OR(AND(AC21="Bajo",AC22="Bajo",AC23="Alto"),AND(AC21="Bajo",AC22="Moderado",AC23="Alto"),AND(AC21="Moderado",AC22="Bajo",AC23="Alto"),AND(AC21="Moderado",AC22="Alto",AC23="Bajo"),AND(AC21="Moderado",AC22="Moderado",AC23="Alto"),AND(AC21="Alto",AC22="Bajo",AC23="Bajo"),AND(AC21="Alto",AC22="Moderado",AC23="Bajo"),AND(AC21="Alto",AC22="Moderado",AC23="Moderado"),AND(AC21="Alto",AC22="Alto",AC23="Bajo"),AND(AC21="Alto",AC22="Alto",AC23="Moderado"),AND(AC21="Alto",AC22="Alto",AC23="Alto"),AND(AC21="Alto",AC22="Bajo",AC23=""),AND(AC21="Alto",AC22="Moderado",AC23=""),AND(AC21="Alto",AC22="Alto",AC23=""),AND(AC21="Bajo",AC22="Alto",AC23=""),AND(AC21="Moderado",AC22="Alto",AC23=""),AND(AC21="Alto",AC22="",AC23="")),"Alto",IF(OR(AND(AC21="Bajo",AC22="Bajo",AC23="Extremo"),AND(AC21="Bajo",AC22="Moderado",AC23="Extremo"),AND(AC21="Bajo",AC22="Alto",AC23="Extremo"),AND(AC21="Moderado",AC22="Bajo",AC23="Extremo"),AND(AC21="Moderado",AC22="Alto",AC23="Extremo"),AND(AC21="Moderado",AC22="Moderado",AC23="Extremo"),AND(AC21="Alto",AC22="Bajo",AC23="Extremo"),AND(AC21="Alto",AC22="Moderado",AC23="Extremo"),AND(AC21="Alto",AC22="Alto",AC23="Extremo"),AND(AC21="Extremo",AC22="Bajo",AC23="Bajo"),AND(AC21="Extremo",AC22="Bajo",AC23="Moderado"),AND(AC21="Extremo",AC22="Bajo",AC23="Alto"),AND(AC21="Extremo",AC22="Moderado",AC23="Bajo"),AND(AC21="Extremo",AC22="Moderado",AC23="Moderado"),AND(AC21="Extremo",AC22="Moderado",AC23="Alto"),AND(AC21="Extremo",AC22="Alto",AC23="Bajo"),AND(AC21="Extremo",AC22="Alto",AC23="Moderado"),AND(AC21="Extremo",AC22="Alto",AC23="Alto"),AND(AC21="Extremo",AC22="Extremo",AC23="Bajo"),AND(AC21="Extremo",AC22="Extremo",AC23="Moderado"),AND(AC21="Extremo",AC22="Extremo",AC23="Alto"),AND(AC21="Extremo",AC22="Extremo",AC23="Extremo"),AND(AC21="Extremo",AC22="Bajo",AC23=""),AND(AC21="Extremo",AC22="Moderado",AC23=""),AND(AC21="Extremo",AC22="Alto",AC23=""),AND(AC21="Extremo",AC22="",AC23="")),"Extremo")))),"")</f>
        <v>Moderado</v>
      </c>
      <c r="AE21" s="142"/>
      <c r="AF21" s="107"/>
      <c r="AG21" s="135" t="s">
        <v>250</v>
      </c>
      <c r="AH21" s="140">
        <v>45659</v>
      </c>
      <c r="AI21" s="140">
        <v>46021</v>
      </c>
      <c r="AJ21" s="107" t="s">
        <v>260</v>
      </c>
      <c r="AK21" s="106"/>
    </row>
    <row r="22" spans="1:37" ht="61.5" customHeight="1" x14ac:dyDescent="0.2">
      <c r="A22" s="172"/>
      <c r="B22" s="179"/>
      <c r="C22" s="181"/>
      <c r="D22" s="181"/>
      <c r="E22" s="172"/>
      <c r="F22" s="172"/>
      <c r="G22" s="172"/>
      <c r="H22" s="174"/>
      <c r="I22" s="174"/>
      <c r="J22" s="172"/>
      <c r="K22" s="174"/>
      <c r="L22" s="174"/>
      <c r="M22" s="174"/>
      <c r="N22" s="174"/>
      <c r="O22" s="106">
        <v>2</v>
      </c>
      <c r="P22" s="130" t="s">
        <v>263</v>
      </c>
      <c r="Q22" s="110" t="str">
        <f t="shared" si="0"/>
        <v>Probabilidad</v>
      </c>
      <c r="R22" s="108" t="s">
        <v>167</v>
      </c>
      <c r="S22" s="108" t="s">
        <v>175</v>
      </c>
      <c r="T22" s="111" t="str">
        <f t="shared" si="9"/>
        <v>40%</v>
      </c>
      <c r="U22" s="131" t="s">
        <v>178</v>
      </c>
      <c r="V22" s="131" t="s">
        <v>183</v>
      </c>
      <c r="W22" s="131" t="s">
        <v>187</v>
      </c>
      <c r="X22" s="112">
        <f>IFERROR(IF(AND(Q21="Probabilidad",Q22="Probabilidad"),(Z21-(+Z21*T22)),IF(Q22="Probabilidad",(I21-(+I21*T22)),IF(Q22="Impacto",Z21,""))),"")</f>
        <v>0.216</v>
      </c>
      <c r="Y22" s="113" t="str">
        <f t="shared" si="2"/>
        <v>Baja</v>
      </c>
      <c r="Z22" s="111">
        <f t="shared" si="3"/>
        <v>0.216</v>
      </c>
      <c r="AA22" s="113" t="str">
        <f t="shared" si="4"/>
        <v>Moderado</v>
      </c>
      <c r="AB22" s="111">
        <f>IFERROR(IF(AND(Q21="Impacto",Q22="Impacto"),(AB21-(+AB21*T22)),IF(Q22="Impacto",($M$16-(+$M$16*T22)),IF(Q22="Probabilidad",AB21,""))),"")</f>
        <v>0.6</v>
      </c>
      <c r="AC22" s="114" t="str">
        <f t="shared" si="5"/>
        <v>Moderado</v>
      </c>
      <c r="AD22" s="202"/>
      <c r="AE22" s="143"/>
      <c r="AF22" s="107"/>
      <c r="AG22" s="135" t="s">
        <v>250</v>
      </c>
      <c r="AH22" s="139">
        <v>45659</v>
      </c>
      <c r="AI22" s="141">
        <v>46021</v>
      </c>
      <c r="AJ22" s="107" t="s">
        <v>260</v>
      </c>
      <c r="AK22" s="106"/>
    </row>
    <row r="23" spans="1:37" ht="97.5" customHeight="1" x14ac:dyDescent="0.2">
      <c r="A23" s="172"/>
      <c r="B23" s="180"/>
      <c r="C23" s="181"/>
      <c r="D23" s="181"/>
      <c r="E23" s="172"/>
      <c r="F23" s="172"/>
      <c r="G23" s="172"/>
      <c r="H23" s="174"/>
      <c r="I23" s="174"/>
      <c r="J23" s="172"/>
      <c r="K23" s="174"/>
      <c r="L23" s="174"/>
      <c r="M23" s="174"/>
      <c r="N23" s="174"/>
      <c r="O23" s="106"/>
      <c r="P23" s="130"/>
      <c r="Q23" s="110" t="str">
        <f t="shared" si="0"/>
        <v/>
      </c>
      <c r="R23" s="108"/>
      <c r="S23" s="108"/>
      <c r="T23" s="111" t="str">
        <f t="shared" si="9"/>
        <v/>
      </c>
      <c r="U23" s="131"/>
      <c r="V23" s="131"/>
      <c r="W23" s="131"/>
      <c r="X23" s="112" t="str">
        <f>IFERROR(IF(AND(Q22="Probabilidad",Q23="Probabilidad"),(Z22-(+Z22*T23)),IF(AND(Q22="Impacto",Q23="Probabilidad"),(Z21-(+Z21*T23)),IF(Q23="Impacto",Z22,""))),"")</f>
        <v/>
      </c>
      <c r="Y23" s="113" t="str">
        <f t="shared" si="2"/>
        <v/>
      </c>
      <c r="Z23" s="111" t="str">
        <f t="shared" si="3"/>
        <v/>
      </c>
      <c r="AA23" s="113" t="str">
        <f t="shared" si="4"/>
        <v/>
      </c>
      <c r="AB23" s="111" t="str">
        <f>IFERROR(IF(AND(Q22="Impacto",Q23="Impacto"),(AB22-(+AB22*T23)),IF(AND(Q22="Probabilidad",Q23="Impacto"),(AB21-(+AB21*T23)),IF(Q23="Probabilidad",AB22,""))),"")</f>
        <v/>
      </c>
      <c r="AC23" s="114" t="str">
        <f t="shared" si="5"/>
        <v/>
      </c>
      <c r="AD23" s="203"/>
      <c r="AE23" s="144"/>
      <c r="AF23" s="107"/>
      <c r="AG23" s="107"/>
      <c r="AH23" s="109"/>
      <c r="AI23" s="109"/>
      <c r="AK23" s="106"/>
    </row>
    <row r="24" spans="1:37" ht="16.5" hidden="1" customHeight="1" x14ac:dyDescent="0.2">
      <c r="A24" s="115"/>
      <c r="B24" s="124"/>
      <c r="C24" s="124"/>
      <c r="D24" s="124"/>
      <c r="E24" s="124"/>
      <c r="F24" s="124"/>
      <c r="G24" s="129"/>
      <c r="H24" s="127" t="str">
        <f>IF(G24&lt;=0,"",IF(G24&lt;=2,"Muy Baja",IF(G24&lt;=24,"Baja",IF(G24&lt;=500,"Media",IF(G24&lt;=5000,"Alta","Muy Alta")))))</f>
        <v/>
      </c>
      <c r="I24" s="126" t="str">
        <f>IF(H24="","",IF(H24="Muy Baja",0.2,IF(H24="Baja",0.4,IF(H24="Media",0.6,IF(H24="Alta",0.8,IF(H24="Muy Alta",1,))))))</f>
        <v/>
      </c>
      <c r="J24" s="125"/>
      <c r="K24" s="126">
        <f ca="1">IF(NOT(ISERROR(MATCH(J24,'Tabla Impacto'!$B$221:$B$223,0))),'Tabla Impacto'!$F$223&amp;"Por favor no seleccionar los criterios de impacto(Afectación Económica o presupuestal y Pérdida Reputacional)",J24)</f>
        <v>0</v>
      </c>
      <c r="L24" s="127" t="str">
        <f ca="1">IF(OR(K24='Tabla Impacto'!$C$11,K24='Tabla Impacto'!$D$11),"Leve",IF(OR(K24='Tabla Impacto'!$C$12,K24='Tabla Impacto'!$D$12),"Menor",IF(OR(K24='Tabla Impacto'!$C$13,K24='Tabla Impacto'!$D$13),"Moderado",IF(OR(K24='Tabla Impacto'!$C$14,K24='Tabla Impacto'!$D$14),"Mayor",IF(OR(K24='Tabla Impacto'!$C$15,K24='Tabla Impacto'!$D$15),"Catastrófico","")))))</f>
        <v/>
      </c>
      <c r="M24" s="126" t="str">
        <f ca="1">IF(L24="","",IF(L24="Leve",0.2,IF(L24="Menor",0.4,IF(L24="Moderado",0.6,IF(L24="Mayor",0.8,IF(L24="Catastrófico",1,))))))</f>
        <v/>
      </c>
      <c r="N24" s="128" t="str">
        <f ca="1">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c r="P24" s="130"/>
      <c r="Q24" s="110" t="str">
        <f t="shared" si="0"/>
        <v/>
      </c>
      <c r="R24" s="108"/>
      <c r="S24" s="108"/>
      <c r="T24" s="111"/>
      <c r="U24" s="108"/>
      <c r="V24" s="108"/>
      <c r="W24" s="108"/>
      <c r="X24" s="112" t="str">
        <f t="shared" si="7"/>
        <v/>
      </c>
      <c r="Y24" s="113" t="str">
        <f t="shared" si="2"/>
        <v/>
      </c>
      <c r="Z24" s="111" t="str">
        <f t="shared" si="3"/>
        <v/>
      </c>
      <c r="AA24" s="113" t="str">
        <f t="shared" si="4"/>
        <v/>
      </c>
      <c r="AB24" s="111" t="str">
        <f t="shared" si="8"/>
        <v/>
      </c>
      <c r="AC24" s="114" t="str">
        <f t="shared" si="5"/>
        <v/>
      </c>
      <c r="AD24" s="123"/>
      <c r="AE24" s="108"/>
      <c r="AF24" s="107"/>
      <c r="AG24" s="107"/>
      <c r="AH24" s="109"/>
      <c r="AI24" s="109"/>
      <c r="AJ24" s="107"/>
      <c r="AK24" s="106"/>
    </row>
    <row r="25" spans="1:37" ht="16.5" hidden="1" customHeight="1" x14ac:dyDescent="0.2">
      <c r="A25" s="115"/>
      <c r="B25" s="124"/>
      <c r="C25" s="124"/>
      <c r="D25" s="124"/>
      <c r="E25" s="124"/>
      <c r="F25" s="124"/>
      <c r="G25" s="129"/>
      <c r="H25" s="127" t="str">
        <f>IF(G25&lt;=0,"",IF(G25&lt;=2,"Muy Baja",IF(G25&lt;=24,"Baja",IF(G25&lt;=500,"Media",IF(G25&lt;=5000,"Alta","Muy Alta")))))</f>
        <v/>
      </c>
      <c r="I25" s="126" t="str">
        <f>IF(H25="","",IF(H25="Muy Baja",0.2,IF(H25="Baja",0.4,IF(H25="Media",0.6,IF(H25="Alta",0.8,IF(H25="Muy Alta",1,))))))</f>
        <v/>
      </c>
      <c r="J25" s="125"/>
      <c r="K25" s="126">
        <f ca="1">IF(NOT(ISERROR(MATCH(J25,'Tabla Impacto'!$B$221:$B$223,0))),'Tabla Impacto'!$F$223&amp;"Por favor no seleccionar los criterios de impacto(Afectación Económica o presupuestal y Pérdida Reputacional)",J25)</f>
        <v>0</v>
      </c>
      <c r="L25" s="127" t="str">
        <f ca="1">IF(OR(K25='Tabla Impacto'!$C$11,K25='Tabla Impacto'!$D$11),"Leve",IF(OR(K25='Tabla Impacto'!$C$12,K25='Tabla Impacto'!$D$12),"Menor",IF(OR(K25='Tabla Impacto'!$C$13,K25='Tabla Impacto'!$D$13),"Moderado",IF(OR(K25='Tabla Impacto'!$C$14,K25='Tabla Impacto'!$D$14),"Mayor",IF(OR(K25='Tabla Impacto'!$C$15,K25='Tabla Impacto'!$D$15),"Catastrófico","")))))</f>
        <v/>
      </c>
      <c r="M25" s="126" t="str">
        <f ca="1">IF(L25="","",IF(L25="Leve",0.2,IF(L25="Menor",0.4,IF(L25="Moderado",0.6,IF(L25="Mayor",0.8,IF(L25="Catastrófico",1,))))))</f>
        <v/>
      </c>
      <c r="N25" s="128" t="str">
        <f ca="1">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06"/>
      <c r="P25" s="130"/>
      <c r="Q25" s="110" t="str">
        <f t="shared" si="0"/>
        <v/>
      </c>
      <c r="R25" s="108"/>
      <c r="S25" s="108"/>
      <c r="T25" s="111"/>
      <c r="U25" s="108"/>
      <c r="V25" s="108"/>
      <c r="W25" s="108"/>
      <c r="X25" s="112" t="str">
        <f t="shared" si="7"/>
        <v/>
      </c>
      <c r="Y25" s="113" t="str">
        <f t="shared" si="2"/>
        <v/>
      </c>
      <c r="Z25" s="111" t="str">
        <f t="shared" si="3"/>
        <v/>
      </c>
      <c r="AA25" s="113" t="str">
        <f t="shared" si="4"/>
        <v/>
      </c>
      <c r="AB25" s="111" t="str">
        <f t="shared" si="8"/>
        <v/>
      </c>
      <c r="AC25" s="114" t="str">
        <f t="shared" si="5"/>
        <v/>
      </c>
      <c r="AD25" s="121"/>
      <c r="AE25" s="108"/>
      <c r="AF25" s="107"/>
      <c r="AG25" s="107"/>
      <c r="AH25" s="109"/>
      <c r="AI25" s="109"/>
      <c r="AJ25" s="107"/>
      <c r="AK25" s="106"/>
    </row>
    <row r="26" spans="1:37" ht="90" customHeight="1" x14ac:dyDescent="0.2">
      <c r="A26" s="177">
        <v>3</v>
      </c>
      <c r="B26" s="178" t="s">
        <v>195</v>
      </c>
      <c r="C26" s="181" t="s">
        <v>255</v>
      </c>
      <c r="D26" s="181" t="s">
        <v>256</v>
      </c>
      <c r="E26" s="181" t="s">
        <v>257</v>
      </c>
      <c r="F26" s="181" t="s">
        <v>203</v>
      </c>
      <c r="G26" s="177">
        <v>500</v>
      </c>
      <c r="H26" s="175" t="str">
        <f>IF(G26&lt;=0,"",IF(G26&lt;=2,"Muy Baja",IF(G26&lt;=24,"Baja",IF(G26&lt;=500,"Media",IF(G26&lt;=5000,"Alta","Muy Alta")))))</f>
        <v>Media</v>
      </c>
      <c r="I26" s="173">
        <f>IF(H26="","",IF(H26="Muy Baja",0.2,IF(H26="Baja",0.4,IF(H26="Media",0.6,IF(H26="Alta",0.8,IF(H26="Muy Alta",1,))))))</f>
        <v>0.6</v>
      </c>
      <c r="J26" s="171" t="s">
        <v>145</v>
      </c>
      <c r="K26" s="173" t="str">
        <f>IF(NOT(ISERROR(MATCH(J26,'[1]Tabla Impacto'!$B$221:$B$223,0))),'[1]Tabla Impacto'!$F$223&amp;"Por favor no seleccionar los criterios de impacto(Afectación Económica o presupuestal y Pérdida Reputacional)",J26)</f>
        <v xml:space="preserve">     Afectación menor a 10 SMLMV .</v>
      </c>
      <c r="L26" s="175" t="str">
        <f>IF(OR(K26='[1]Tabla Impacto'!$C$11,K26='[1]Tabla Impacto'!$D$11),"Leve",IF(OR(K26='[1]Tabla Impacto'!$C$12,K26='[1]Tabla Impacto'!$D$12),"Menor",IF(OR(K26='[1]Tabla Impacto'!$C$13,K26='[1]Tabla Impacto'!$D$13),"Moderado",IF(OR(K26='[1]Tabla Impacto'!$C$14,K26='[1]Tabla Impacto'!$D$14),"Mayor",IF(OR(K26='[1]Tabla Impacto'!$C$15,K26='[1]Tabla Impacto'!$D$15),"Catastrófico","")))))</f>
        <v>Leve</v>
      </c>
      <c r="M26" s="173">
        <f>IF(L26="","",IF(L26="Leve",0.2,IF(L26="Menor",0.4,IF(L26="Moderado",0.6,IF(L26="Mayor",0.8,IF(L26="Catastrófico",1,))))))</f>
        <v>0.2</v>
      </c>
      <c r="N26" s="176"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Moderado</v>
      </c>
      <c r="O26" s="106">
        <v>1</v>
      </c>
      <c r="P26" s="130" t="s">
        <v>264</v>
      </c>
      <c r="Q26" s="110" t="str">
        <f t="shared" si="0"/>
        <v>Probabilidad</v>
      </c>
      <c r="R26" s="108" t="s">
        <v>167</v>
      </c>
      <c r="S26" s="108" t="s">
        <v>175</v>
      </c>
      <c r="T26" s="111" t="str">
        <f t="shared" ref="T26:T28" si="10">IF(AND(R26="Preventivo",S26="Automático"),"50%",IF(AND(R26="Preventivo",S26="Manual"),"40%",IF(AND(R26="Detectivo",S26="Automático"),"40%",IF(AND(R26="Detectivo",S26="Manual"),"30%",IF(AND(R26="Correctivo",S26="Automático"),"35%",IF(AND(R26="Correctivo",S26="Manual"),"25%",""))))))</f>
        <v>40%</v>
      </c>
      <c r="U26" s="131" t="s">
        <v>178</v>
      </c>
      <c r="V26" s="131" t="s">
        <v>183</v>
      </c>
      <c r="W26" s="131" t="s">
        <v>187</v>
      </c>
      <c r="X26" s="112">
        <f>IFERROR(IF(Q26="Probabilidad",(I26-(+I26*T26)),IF(Q26="Impacto",I26,"")),"")</f>
        <v>0.36</v>
      </c>
      <c r="Y26" s="113" t="str">
        <f t="shared" si="2"/>
        <v>Baja</v>
      </c>
      <c r="Z26" s="111">
        <f t="shared" si="3"/>
        <v>0.36</v>
      </c>
      <c r="AA26" s="113" t="str">
        <f t="shared" si="4"/>
        <v>Leve</v>
      </c>
      <c r="AB26" s="111">
        <f>IFERROR(IF(Q26="Impacto",(M26-(+M26*T26)),IF(Q26="Probabilidad",M26,"")),"")</f>
        <v>0.2</v>
      </c>
      <c r="AC26" s="114" t="str">
        <f t="shared" si="5"/>
        <v>Bajo</v>
      </c>
      <c r="AD26" s="201" t="str">
        <f>IFERROR(IF(OR(AND(AC26="Bajo",AC27="Bajo",AC28="Bajo"),AND(AC26="Bajo",AC27="Bajo",AC28=""),AND(AC26="Bajo",AC27="",AC28="")),"Bajo",IF(OR(AND(AC26="Bajo",AC27="Bajo",AC28="Moderado"),AND(AC26="Bajo",AC27="Moderado",AC28="Moderado"),AND(AC26="Moderado",AC27="Moderado",AC28="Moderado"),AND(AC26="Bajo",AC27="Moderado",AC28=""),AND(AC26="Moderado",AC27="Bajo",AC28=""),AND(AC26="Moderado",AC27="Moderado",AC28=""),AND(AC26="Moderado",AC27="",AC28="")),"Moderado",IF(OR(AND(AC26="Bajo",AC27="Bajo",AC28="Alto"),AND(AC26="Bajo",AC27="Moderado",AC28="Alto"),AND(AC26="Moderado",AC27="Bajo",AC28="Alto"),AND(AC26="Moderado",AC27="Alto",AC28="Bajo"),AND(AC26="Moderado",AC27="Moderado",AC28="Alto"),AND(AC26="Alto",AC27="Bajo",AC28="Bajo"),AND(AC26="Alto",AC27="Moderado",AC28="Bajo"),AND(AC26="Alto",AC27="Moderado",AC28="Moderado"),AND(AC26="Alto",AC27="Alto",AC28="Bajo"),AND(AC26="Alto",AC27="Alto",AC28="Moderado"),AND(AC26="Alto",AC27="Alto",AC28="Alto"),AND(AC26="Alto",AC27="Bajo",AC28=""),AND(AC26="Alto",AC27="Moderado",AC28=""),AND(AC26="Alto",AC27="Alto",AC28=""),AND(AC26="Bajo",AC27="Alto",AC28=""),AND(AC26="Moderado",AC27="Alto",AC28=""),AND(AC26="Alto",AC27="",AC28="")),"Alto",IF(OR(AND(AC26="Bajo",AC27="Bajo",AC28="Extremo"),AND(AC26="Bajo",AC27="Moderado",AC28="Extremo"),AND(AC26="Bajo",AC27="Alto",AC28="Extremo"),AND(AC26="Moderado",AC27="Bajo",AC28="Extremo"),AND(AC26="Moderado",AC27="Alto",AC28="Extremo"),AND(AC26="Moderado",AC27="Moderado",AC28="Extremo"),AND(AC26="Alto",AC27="Bajo",AC28="Extremo"),AND(AC26="Alto",AC27="Moderado",AC28="Extremo"),AND(AC26="Alto",AC27="Alto",AC28="Extremo"),AND(AC26="Extremo",AC27="Bajo",AC28="Bajo"),AND(AC26="Extremo",AC27="Bajo",AC28="Moderado"),AND(AC26="Extremo",AC27="Bajo",AC28="Alto"),AND(AC26="Extremo",AC27="Moderado",AC28="Bajo"),AND(AC26="Extremo",AC27="Moderado",AC28="Moderado"),AND(AC26="Extremo",AC27="Moderado",AC28="Alto"),AND(AC26="Extremo",AC27="Alto",AC28="Bajo"),AND(AC26="Extremo",AC27="Alto",AC28="Moderado"),AND(AC26="Extremo",AC27="Alto",AC28="Alto"),AND(AC26="Extremo",AC27="Extremo",AC28="Bajo"),AND(AC26="Extremo",AC27="Extremo",AC28="Moderado"),AND(AC26="Extremo",AC27="Extremo",AC28="Alto"),AND(AC26="Extremo",AC27="Extremo",AC28="Extremo"),AND(AC26="Extremo",AC27="Bajo",AC28=""),AND(AC26="Extremo",AC27="Moderado",AC28=""),AND(AC26="Extremo",AC27="Alto",AC28=""),AND(AC26="Extremo",AC27="",AC28="")),"Extremo")))),"")</f>
        <v>Bajo</v>
      </c>
      <c r="AE26" s="142"/>
      <c r="AF26" s="107" t="s">
        <v>258</v>
      </c>
      <c r="AG26" s="135" t="s">
        <v>250</v>
      </c>
      <c r="AH26" s="140">
        <v>45659</v>
      </c>
      <c r="AI26" s="140">
        <v>46021</v>
      </c>
      <c r="AJ26" s="107" t="s">
        <v>260</v>
      </c>
      <c r="AK26" s="106"/>
    </row>
    <row r="27" spans="1:37" ht="100.5" customHeight="1" x14ac:dyDescent="0.2">
      <c r="A27" s="172"/>
      <c r="B27" s="179"/>
      <c r="C27" s="181"/>
      <c r="D27" s="181"/>
      <c r="E27" s="172"/>
      <c r="F27" s="172"/>
      <c r="G27" s="172"/>
      <c r="H27" s="174"/>
      <c r="I27" s="174"/>
      <c r="J27" s="172"/>
      <c r="K27" s="174"/>
      <c r="L27" s="174"/>
      <c r="M27" s="174"/>
      <c r="N27" s="174"/>
      <c r="O27" s="106">
        <v>2</v>
      </c>
      <c r="P27" s="130" t="s">
        <v>265</v>
      </c>
      <c r="Q27" s="110" t="str">
        <f t="shared" si="0"/>
        <v>Probabilidad</v>
      </c>
      <c r="R27" s="108" t="s">
        <v>167</v>
      </c>
      <c r="S27" s="108" t="s">
        <v>175</v>
      </c>
      <c r="T27" s="111" t="str">
        <f t="shared" si="10"/>
        <v>40%</v>
      </c>
      <c r="U27" s="131" t="s">
        <v>178</v>
      </c>
      <c r="V27" s="131" t="s">
        <v>183</v>
      </c>
      <c r="W27" s="131" t="s">
        <v>187</v>
      </c>
      <c r="X27" s="112">
        <f>IFERROR(IF(AND(Q26="Probabilidad",Q27="Probabilidad"),(Z26-(+Z26*T27)),IF(Q27="Probabilidad",(I26-(+I26*T27)),IF(Q27="Impacto",Z26,""))),"")</f>
        <v>0.216</v>
      </c>
      <c r="Y27" s="113" t="str">
        <f t="shared" si="2"/>
        <v>Baja</v>
      </c>
      <c r="Z27" s="111">
        <f t="shared" si="3"/>
        <v>0.216</v>
      </c>
      <c r="AA27" s="113" t="str">
        <f t="shared" si="4"/>
        <v>Leve</v>
      </c>
      <c r="AB27" s="111">
        <f>IFERROR(IF(AND(Q26="Impacto",Q27="Impacto"),(AB26-(+AB26*T27)),IF(Q27="Impacto",($M$16-(+$M$16*T27)),IF(Q27="Probabilidad",AB26,""))),"")</f>
        <v>0.2</v>
      </c>
      <c r="AC27" s="114" t="str">
        <f t="shared" si="5"/>
        <v>Bajo</v>
      </c>
      <c r="AD27" s="202"/>
      <c r="AE27" s="143"/>
      <c r="AF27" s="107"/>
      <c r="AG27" s="135" t="s">
        <v>250</v>
      </c>
      <c r="AH27" s="139">
        <v>45659</v>
      </c>
      <c r="AI27" s="141">
        <v>46021</v>
      </c>
      <c r="AJ27" s="107" t="s">
        <v>260</v>
      </c>
      <c r="AK27" s="106"/>
    </row>
    <row r="28" spans="1:37" ht="120" customHeight="1" x14ac:dyDescent="0.2">
      <c r="A28" s="172"/>
      <c r="B28" s="180"/>
      <c r="C28" s="181"/>
      <c r="D28" s="181"/>
      <c r="E28" s="172"/>
      <c r="F28" s="172"/>
      <c r="G28" s="172"/>
      <c r="H28" s="174"/>
      <c r="I28" s="174"/>
      <c r="J28" s="172"/>
      <c r="K28" s="174"/>
      <c r="L28" s="174"/>
      <c r="M28" s="174"/>
      <c r="N28" s="174"/>
      <c r="O28" s="106">
        <v>3</v>
      </c>
      <c r="P28" s="130"/>
      <c r="Q28" s="110" t="str">
        <f t="shared" si="0"/>
        <v>Probabilidad</v>
      </c>
      <c r="R28" s="108" t="s">
        <v>167</v>
      </c>
      <c r="S28" s="108"/>
      <c r="T28" s="111" t="str">
        <f t="shared" si="10"/>
        <v/>
      </c>
      <c r="U28" s="131"/>
      <c r="V28" s="131"/>
      <c r="W28" s="131"/>
      <c r="X28" s="112" t="str">
        <f>IFERROR(IF(AND(Q27="Probabilidad",Q28="Probabilidad"),(Z27-(+Z27*T28)),IF(AND(Q27="Impacto",Q28="Probabilidad"),(Z26-(+Z26*T28)),IF(Q28="Impacto",Z27,""))),"")</f>
        <v/>
      </c>
      <c r="Y28" s="113" t="str">
        <f t="shared" si="2"/>
        <v/>
      </c>
      <c r="Z28" s="111" t="str">
        <f t="shared" si="3"/>
        <v/>
      </c>
      <c r="AA28" s="113" t="str">
        <f t="shared" si="4"/>
        <v>Leve</v>
      </c>
      <c r="AB28" s="111">
        <f>IFERROR(IF(AND(Q27="Impacto",Q28="Impacto"),(AB27-(+AB27*T28)),IF(AND(Q27="Probabilidad",Q28="Impacto"),(AB26-(+AB26*T28)),IF(Q28="Probabilidad",AB27,""))),"")</f>
        <v>0.2</v>
      </c>
      <c r="AC28" s="114" t="str">
        <f t="shared" si="5"/>
        <v/>
      </c>
      <c r="AD28" s="203"/>
      <c r="AE28" s="144"/>
      <c r="AF28" s="107"/>
      <c r="AG28" s="107"/>
      <c r="AH28" s="109"/>
      <c r="AI28" s="109"/>
      <c r="AJ28" s="107"/>
      <c r="AK28" s="106"/>
    </row>
    <row r="29" spans="1:37" ht="16.5" hidden="1" customHeight="1" x14ac:dyDescent="0.2">
      <c r="A29" s="115"/>
      <c r="B29" s="124"/>
      <c r="C29" s="124"/>
      <c r="D29" s="124"/>
      <c r="E29" s="124"/>
      <c r="F29" s="124"/>
      <c r="G29" s="129"/>
      <c r="H29" s="127" t="str">
        <f>IF(G29&lt;=0,"",IF(G29&lt;=2,"Muy Baja",IF(G29&lt;=24,"Baja",IF(G29&lt;=500,"Media",IF(G29&lt;=5000,"Alta","Muy Alta")))))</f>
        <v/>
      </c>
      <c r="I29" s="126" t="str">
        <f>IF(H29="","",IF(H29="Muy Baja",0.2,IF(H29="Baja",0.4,IF(H29="Media",0.6,IF(H29="Alta",0.8,IF(H29="Muy Alta",1,))))))</f>
        <v/>
      </c>
      <c r="J29" s="125"/>
      <c r="K29" s="126">
        <f ca="1">IF(NOT(ISERROR(MATCH(J29,'Tabla Impacto'!$B$221:$B$223,0))),'Tabla Impacto'!$F$223&amp;"Por favor no seleccionar los criterios de impacto(Afectación Económica o presupuestal y Pérdida Reputacional)",J29)</f>
        <v>0</v>
      </c>
      <c r="L29" s="127" t="str">
        <f ca="1">IF(OR(K29='Tabla Impacto'!$C$11,K29='Tabla Impacto'!$D$11),"Leve",IF(OR(K29='Tabla Impacto'!$C$12,K29='Tabla Impacto'!$D$12),"Menor",IF(OR(K29='Tabla Impacto'!$C$13,K29='Tabla Impacto'!$D$13),"Moderado",IF(OR(K29='Tabla Impacto'!$C$14,K29='Tabla Impacto'!$D$14),"Mayor",IF(OR(K29='Tabla Impacto'!$C$15,K29='Tabla Impacto'!$D$15),"Catastrófico","")))))</f>
        <v/>
      </c>
      <c r="M29" s="126" t="str">
        <f ca="1">IF(L29="","",IF(L29="Leve",0.2,IF(L29="Menor",0.4,IF(L29="Moderado",0.6,IF(L29="Mayor",0.8,IF(L29="Catastrófico",1,))))))</f>
        <v/>
      </c>
      <c r="N29" s="128" t="str">
        <f ca="1">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06"/>
      <c r="P29" s="130"/>
      <c r="Q29" s="110" t="str">
        <f t="shared" si="0"/>
        <v/>
      </c>
      <c r="R29" s="108"/>
      <c r="S29" s="108"/>
      <c r="T29" s="111" t="str">
        <f t="shared" si="1"/>
        <v/>
      </c>
      <c r="U29" s="108"/>
      <c r="V29" s="108"/>
      <c r="W29" s="108"/>
      <c r="X29" s="112" t="str">
        <f t="shared" si="7"/>
        <v/>
      </c>
      <c r="Y29" s="113" t="str">
        <f t="shared" si="2"/>
        <v/>
      </c>
      <c r="Z29" s="111" t="str">
        <f t="shared" si="3"/>
        <v/>
      </c>
      <c r="AA29" s="113" t="str">
        <f t="shared" si="4"/>
        <v/>
      </c>
      <c r="AB29" s="111" t="str">
        <f t="shared" si="8"/>
        <v/>
      </c>
      <c r="AC29" s="114" t="str">
        <f t="shared" si="5"/>
        <v/>
      </c>
      <c r="AD29" s="123"/>
      <c r="AE29" s="108"/>
      <c r="AF29" s="107"/>
      <c r="AG29" s="107"/>
      <c r="AH29" s="109"/>
      <c r="AI29" s="109"/>
      <c r="AJ29" s="107"/>
      <c r="AK29" s="106"/>
    </row>
    <row r="30" spans="1:37" ht="16.5" hidden="1" customHeight="1" x14ac:dyDescent="0.2">
      <c r="A30" s="115"/>
      <c r="B30" s="124"/>
      <c r="C30" s="124"/>
      <c r="D30" s="124"/>
      <c r="E30" s="124"/>
      <c r="F30" s="124"/>
      <c r="G30" s="129"/>
      <c r="H30" s="127" t="str">
        <f>IF(G30&lt;=0,"",IF(G30&lt;=2,"Muy Baja",IF(G30&lt;=24,"Baja",IF(G30&lt;=500,"Media",IF(G30&lt;=5000,"Alta","Muy Alta")))))</f>
        <v/>
      </c>
      <c r="I30" s="126" t="str">
        <f>IF(H30="","",IF(H30="Muy Baja",0.2,IF(H30="Baja",0.4,IF(H30="Media",0.6,IF(H30="Alta",0.8,IF(H30="Muy Alta",1,))))))</f>
        <v/>
      </c>
      <c r="J30" s="125"/>
      <c r="K30" s="126">
        <f ca="1">IF(NOT(ISERROR(MATCH(J30,'Tabla Impacto'!$B$221:$B$223,0))),'Tabla Impacto'!$F$223&amp;"Por favor no seleccionar los criterios de impacto(Afectación Económica o presupuestal y Pérdida Reputacional)",J30)</f>
        <v>0</v>
      </c>
      <c r="L30" s="127" t="str">
        <f ca="1">IF(OR(K30='Tabla Impacto'!$C$11,K30='Tabla Impacto'!$D$11),"Leve",IF(OR(K30='Tabla Impacto'!$C$12,K30='Tabla Impacto'!$D$12),"Menor",IF(OR(K30='Tabla Impacto'!$C$13,K30='Tabla Impacto'!$D$13),"Moderado",IF(OR(K30='Tabla Impacto'!$C$14,K30='Tabla Impacto'!$D$14),"Mayor",IF(OR(K30='Tabla Impacto'!$C$15,K30='Tabla Impacto'!$D$15),"Catastrófico","")))))</f>
        <v/>
      </c>
      <c r="M30" s="126" t="str">
        <f ca="1">IF(L30="","",IF(L30="Leve",0.2,IF(L30="Menor",0.4,IF(L30="Moderado",0.6,IF(L30="Mayor",0.8,IF(L30="Catastrófico",1,))))))</f>
        <v/>
      </c>
      <c r="N30" s="128"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c r="P30" s="130"/>
      <c r="Q30" s="110" t="str">
        <f t="shared" si="0"/>
        <v/>
      </c>
      <c r="R30" s="108"/>
      <c r="S30" s="108"/>
      <c r="T30" s="111" t="str">
        <f t="shared" si="1"/>
        <v/>
      </c>
      <c r="U30" s="108"/>
      <c r="V30" s="108"/>
      <c r="W30" s="108"/>
      <c r="X30" s="112" t="str">
        <f t="shared" si="7"/>
        <v/>
      </c>
      <c r="Y30" s="113" t="str">
        <f t="shared" si="2"/>
        <v/>
      </c>
      <c r="Z30" s="111" t="str">
        <f t="shared" si="3"/>
        <v/>
      </c>
      <c r="AA30" s="113" t="str">
        <f t="shared" si="4"/>
        <v/>
      </c>
      <c r="AB30" s="111" t="str">
        <f t="shared" si="8"/>
        <v/>
      </c>
      <c r="AC30" s="114" t="str">
        <f t="shared" si="5"/>
        <v/>
      </c>
      <c r="AD30" s="123"/>
      <c r="AE30" s="108"/>
      <c r="AF30" s="107"/>
      <c r="AG30" s="107"/>
      <c r="AH30" s="109"/>
      <c r="AI30" s="109"/>
      <c r="AJ30" s="107"/>
      <c r="AK30" s="106"/>
    </row>
    <row r="31" spans="1:37" x14ac:dyDescent="0.2">
      <c r="A31" s="177">
        <v>4</v>
      </c>
      <c r="B31" s="178"/>
      <c r="C31" s="181"/>
      <c r="D31" s="181"/>
      <c r="E31" s="181"/>
      <c r="F31" s="181"/>
      <c r="G31" s="177"/>
      <c r="H31" s="175" t="str">
        <f>IF(G31&lt;=0,"",IF(G31&lt;=2,"Muy Baja",IF(G31&lt;=24,"Baja",IF(G31&lt;=500,"Media",IF(G31&lt;=5000,"Alta","Muy Alta")))))</f>
        <v/>
      </c>
      <c r="I31" s="173" t="str">
        <f>IF(H31="","",IF(H31="Muy Baja",0.2,IF(H31="Baja",0.4,IF(H31="Media",0.6,IF(H31="Alta",0.8,IF(H31="Muy Alta",1,))))))</f>
        <v/>
      </c>
      <c r="J31" s="171"/>
      <c r="K31" s="173">
        <f>IF(NOT(ISERROR(MATCH(J31,'[1]Tabla Impacto'!$B$221:$B$223,0))),'[1]Tabla Impacto'!$F$223&amp;"Por favor no seleccionar los criterios de impacto(Afectación Económica o presupuestal y Pérdida Reputacional)",J31)</f>
        <v>0</v>
      </c>
      <c r="L31" s="175" t="str">
        <f>IF(OR(K31='[1]Tabla Impacto'!$C$11,K31='[1]Tabla Impacto'!$D$11),"Leve",IF(OR(K31='[1]Tabla Impacto'!$C$12,K31='[1]Tabla Impacto'!$D$12),"Menor",IF(OR(K31='[1]Tabla Impacto'!$C$13,K31='[1]Tabla Impacto'!$D$13),"Moderado",IF(OR(K31='[1]Tabla Impacto'!$C$14,K31='[1]Tabla Impacto'!$D$14),"Mayor",IF(OR(K31='[1]Tabla Impacto'!$C$15,K31='[1]Tabla Impacto'!$D$15),"Catastrófico","")))))</f>
        <v/>
      </c>
      <c r="M31" s="173" t="str">
        <f>IF(L31="","",IF(L31="Leve",0.2,IF(L31="Menor",0.4,IF(L31="Moderado",0.6,IF(L31="Mayor",0.8,IF(L31="Catastrófico",1,))))))</f>
        <v/>
      </c>
      <c r="N31" s="176"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06">
        <v>1</v>
      </c>
      <c r="P31" s="130"/>
      <c r="Q31" s="110" t="str">
        <f t="shared" si="0"/>
        <v/>
      </c>
      <c r="R31" s="108"/>
      <c r="S31" s="108"/>
      <c r="T31" s="111" t="str">
        <f t="shared" ref="T31:T33" si="11">IF(AND(R31="Preventivo",S31="Automático"),"50%",IF(AND(R31="Preventivo",S31="Manual"),"40%",IF(AND(R31="Detectivo",S31="Automático"),"40%",IF(AND(R31="Detectivo",S31="Manual"),"30%",IF(AND(R31="Correctivo",S31="Automático"),"35%",IF(AND(R31="Correctivo",S31="Manual"),"25%",""))))))</f>
        <v/>
      </c>
      <c r="U31" s="131"/>
      <c r="V31" s="131"/>
      <c r="W31" s="131"/>
      <c r="X31" s="112" t="str">
        <f>IFERROR(IF(Q31="Probabilidad",(I31-(+I31*T31)),IF(Q31="Impacto",I31,"")),"")</f>
        <v/>
      </c>
      <c r="Y31" s="113" t="str">
        <f t="shared" si="2"/>
        <v/>
      </c>
      <c r="Z31" s="111" t="str">
        <f t="shared" si="3"/>
        <v/>
      </c>
      <c r="AA31" s="113" t="str">
        <f t="shared" si="4"/>
        <v/>
      </c>
      <c r="AB31" s="111" t="str">
        <f>IFERROR(IF(Q31="Impacto",(M31-(+M31*T31)),IF(Q31="Probabilidad",M31,"")),"")</f>
        <v/>
      </c>
      <c r="AC31" s="114" t="str">
        <f t="shared" si="5"/>
        <v/>
      </c>
      <c r="AD31" s="201" t="b">
        <f>IFERROR(IF(OR(AND(AC31="Bajo",AC32="Bajo",AC33="Bajo"),AND(AC31="Bajo",AC32="Bajo",AC33=""),AND(AC31="Bajo",AC32="",AC33="")),"Bajo",IF(OR(AND(AC31="Bajo",AC32="Bajo",AC33="Moderado"),AND(AC31="Bajo",AC32="Moderado",AC33="Moderado"),AND(AC31="Moderado",AC32="Moderado",AC33="Moderado"),AND(AC31="Bajo",AC32="Moderado",AC33=""),AND(AC31="Moderado",AC32="Bajo",AC33=""),AND(AC31="Moderado",AC32="Moderado",AC33=""),AND(AC31="Moderado",AC32="",AC33="")),"Moderado",IF(OR(AND(AC31="Bajo",AC32="Bajo",AC33="Alto"),AND(AC31="Bajo",AC32="Moderado",AC33="Alto"),AND(AC31="Moderado",AC32="Bajo",AC33="Alto"),AND(AC31="Moderado",AC32="Alto",AC33="Bajo"),AND(AC31="Moderado",AC32="Moderado",AC33="Alto"),AND(AC31="Alto",AC32="Bajo",AC33="Bajo"),AND(AC31="Alto",AC32="Moderado",AC33="Bajo"),AND(AC31="Alto",AC32="Moderado",AC33="Moderado"),AND(AC31="Alto",AC32="Alto",AC33="Bajo"),AND(AC31="Alto",AC32="Alto",AC33="Moderado"),AND(AC31="Alto",AC32="Alto",AC33="Alto"),AND(AC31="Alto",AC32="Bajo",AC33=""),AND(AC31="Alto",AC32="Moderado",AC33=""),AND(AC31="Alto",AC32="Alto",AC33=""),AND(AC31="Bajo",AC32="Alto",AC33=""),AND(AC31="Moderado",AC32="Alto",AC33=""),AND(AC31="Alto",AC32="",AC33="")),"Alto",IF(OR(AND(AC31="Bajo",AC32="Bajo",AC33="Extremo"),AND(AC31="Bajo",AC32="Moderado",AC33="Extremo"),AND(AC31="Bajo",AC32="Alto",AC33="Extremo"),AND(AC31="Moderado",AC32="Bajo",AC33="Extremo"),AND(AC31="Moderado",AC32="Alto",AC33="Extremo"),AND(AC31="Moderado",AC32="Moderado",AC33="Extremo"),AND(AC31="Alto",AC32="Bajo",AC33="Extremo"),AND(AC31="Alto",AC32="Moderado",AC33="Extremo"),AND(AC31="Alto",AC32="Alto",AC33="Extremo"),AND(AC31="Extremo",AC32="Bajo",AC33="Bajo"),AND(AC31="Extremo",AC32="Bajo",AC33="Moderado"),AND(AC31="Extremo",AC32="Bajo",AC33="Alto"),AND(AC31="Extremo",AC32="Moderado",AC33="Bajo"),AND(AC31="Extremo",AC32="Moderado",AC33="Moderado"),AND(AC31="Extremo",AC32="Moderado",AC33="Alto"),AND(AC31="Extremo",AC32="Alto",AC33="Bajo"),AND(AC31="Extremo",AC32="Alto",AC33="Moderado"),AND(AC31="Extremo",AC32="Alto",AC33="Alto"),AND(AC31="Extremo",AC32="Extremo",AC33="Bajo"),AND(AC31="Extremo",AC32="Extremo",AC33="Moderado"),AND(AC31="Extremo",AC32="Extremo",AC33="Alto"),AND(AC31="Extremo",AC32="Extremo",AC33="Extremo"),AND(AC31="Extremo",AC32="Bajo",AC33=""),AND(AC31="Extremo",AC32="Moderado",AC33=""),AND(AC31="Extremo",AC32="Alto",AC33=""),AND(AC31="Extremo",AC32="",AC33="")),"Extremo")))),"")</f>
        <v>0</v>
      </c>
      <c r="AE31" s="142"/>
      <c r="AF31" s="107"/>
      <c r="AG31" s="107"/>
      <c r="AH31" s="109"/>
      <c r="AI31" s="109"/>
      <c r="AJ31" s="107"/>
      <c r="AK31" s="106"/>
    </row>
    <row r="32" spans="1:37" x14ac:dyDescent="0.2">
      <c r="A32" s="172"/>
      <c r="B32" s="179"/>
      <c r="C32" s="181"/>
      <c r="D32" s="181"/>
      <c r="E32" s="172"/>
      <c r="F32" s="172"/>
      <c r="G32" s="172"/>
      <c r="H32" s="174"/>
      <c r="I32" s="174"/>
      <c r="J32" s="172"/>
      <c r="K32" s="174"/>
      <c r="L32" s="174"/>
      <c r="M32" s="174"/>
      <c r="N32" s="174"/>
      <c r="O32" s="106">
        <v>2</v>
      </c>
      <c r="P32" s="130"/>
      <c r="Q32" s="110" t="str">
        <f t="shared" si="0"/>
        <v/>
      </c>
      <c r="R32" s="108"/>
      <c r="S32" s="108"/>
      <c r="T32" s="111" t="str">
        <f t="shared" si="11"/>
        <v/>
      </c>
      <c r="U32" s="131"/>
      <c r="V32" s="131"/>
      <c r="W32" s="131"/>
      <c r="X32" s="112" t="str">
        <f>IFERROR(IF(AND(Q31="Probabilidad",Q32="Probabilidad"),(Z31-(+Z31*T32)),IF(Q32="Probabilidad",(I31-(+I31*T32)),IF(Q32="Impacto",Z31,""))),"")</f>
        <v/>
      </c>
      <c r="Y32" s="113" t="str">
        <f t="shared" si="2"/>
        <v/>
      </c>
      <c r="Z32" s="111" t="str">
        <f t="shared" si="3"/>
        <v/>
      </c>
      <c r="AA32" s="113" t="str">
        <f t="shared" si="4"/>
        <v/>
      </c>
      <c r="AB32" s="111" t="str">
        <f>IFERROR(IF(AND(Q31="Impacto",Q32="Impacto"),(AB31-(+AB31*T32)),IF(Q32="Impacto",($M$16-(+$M$16*T32)),IF(Q32="Probabilidad",AB31,""))),"")</f>
        <v/>
      </c>
      <c r="AC32" s="114" t="str">
        <f t="shared" si="5"/>
        <v/>
      </c>
      <c r="AD32" s="202"/>
      <c r="AE32" s="143"/>
      <c r="AF32" s="107"/>
      <c r="AG32" s="107"/>
      <c r="AH32" s="109"/>
      <c r="AI32" s="109"/>
      <c r="AJ32" s="107"/>
      <c r="AK32" s="106"/>
    </row>
    <row r="33" spans="1:37" ht="16.5" customHeight="1" x14ac:dyDescent="0.2">
      <c r="A33" s="172"/>
      <c r="B33" s="180"/>
      <c r="C33" s="181"/>
      <c r="D33" s="181"/>
      <c r="E33" s="172"/>
      <c r="F33" s="172"/>
      <c r="G33" s="172"/>
      <c r="H33" s="174"/>
      <c r="I33" s="174"/>
      <c r="J33" s="172"/>
      <c r="K33" s="174"/>
      <c r="L33" s="174"/>
      <c r="M33" s="174"/>
      <c r="N33" s="174"/>
      <c r="O33" s="106">
        <v>3</v>
      </c>
      <c r="P33" s="130"/>
      <c r="Q33" s="110" t="str">
        <f t="shared" si="0"/>
        <v/>
      </c>
      <c r="R33" s="108"/>
      <c r="S33" s="108"/>
      <c r="T33" s="111" t="str">
        <f t="shared" si="11"/>
        <v/>
      </c>
      <c r="U33" s="131"/>
      <c r="V33" s="131"/>
      <c r="W33" s="131"/>
      <c r="X33" s="112" t="str">
        <f>IFERROR(IF(AND(Q32="Probabilidad",Q33="Probabilidad"),(Z32-(+Z32*T33)),IF(AND(Q32="Impacto",Q33="Probabilidad"),(Z31-(+Z31*T33)),IF(Q33="Impacto",Z32,""))),"")</f>
        <v/>
      </c>
      <c r="Y33" s="113" t="str">
        <f t="shared" si="2"/>
        <v/>
      </c>
      <c r="Z33" s="111" t="str">
        <f t="shared" si="3"/>
        <v/>
      </c>
      <c r="AA33" s="113" t="str">
        <f t="shared" si="4"/>
        <v/>
      </c>
      <c r="AB33" s="111" t="str">
        <f>IFERROR(IF(AND(Q32="Impacto",Q33="Impacto"),(AB32-(+AB32*T33)),IF(AND(Q32="Probabilidad",Q33="Impacto"),(AB31-(+AB31*T33)),IF(Q33="Probabilidad",AB32,""))),"")</f>
        <v/>
      </c>
      <c r="AC33" s="114" t="str">
        <f t="shared" si="5"/>
        <v/>
      </c>
      <c r="AD33" s="203"/>
      <c r="AE33" s="144"/>
      <c r="AF33" s="107"/>
      <c r="AG33" s="107"/>
      <c r="AH33" s="109"/>
      <c r="AI33" s="109"/>
      <c r="AJ33" s="107"/>
      <c r="AK33" s="106"/>
    </row>
    <row r="34" spans="1:37" ht="16.5" hidden="1" customHeight="1" x14ac:dyDescent="0.2">
      <c r="A34" s="115"/>
      <c r="B34" s="124"/>
      <c r="C34" s="124"/>
      <c r="D34" s="124"/>
      <c r="E34" s="124"/>
      <c r="F34" s="124"/>
      <c r="G34" s="129"/>
      <c r="H34" s="127" t="str">
        <f>IF(G34&lt;=0,"",IF(G34&lt;=2,"Muy Baja",IF(G34&lt;=24,"Baja",IF(G34&lt;=500,"Media",IF(G34&lt;=5000,"Alta","Muy Alta")))))</f>
        <v/>
      </c>
      <c r="I34" s="126" t="str">
        <f>IF(H34="","",IF(H34="Muy Baja",0.2,IF(H34="Baja",0.4,IF(H34="Media",0.6,IF(H34="Alta",0.8,IF(H34="Muy Alta",1,))))))</f>
        <v/>
      </c>
      <c r="J34" s="125"/>
      <c r="K34" s="126">
        <f ca="1">IF(NOT(ISERROR(MATCH(J34,'Tabla Impacto'!$B$221:$B$223,0))),'Tabla Impacto'!$F$223&amp;"Por favor no seleccionar los criterios de impacto(Afectación Económica o presupuestal y Pérdida Reputacional)",J34)</f>
        <v>0</v>
      </c>
      <c r="L34" s="127" t="str">
        <f ca="1">IF(OR(K34='Tabla Impacto'!$C$11,K34='Tabla Impacto'!$D$11),"Leve",IF(OR(K34='Tabla Impacto'!$C$12,K34='Tabla Impacto'!$D$12),"Menor",IF(OR(K34='Tabla Impacto'!$C$13,K34='Tabla Impacto'!$D$13),"Moderado",IF(OR(K34='Tabla Impacto'!$C$14,K34='Tabla Impacto'!$D$14),"Mayor",IF(OR(K34='Tabla Impacto'!$C$15,K34='Tabla Impacto'!$D$15),"Catastrófico","")))))</f>
        <v/>
      </c>
      <c r="M34" s="126" t="str">
        <f ca="1">IF(L34="","",IF(L34="Leve",0.2,IF(L34="Menor",0.4,IF(L34="Moderado",0.6,IF(L34="Mayor",0.8,IF(L34="Catastrófico",1,))))))</f>
        <v/>
      </c>
      <c r="N34" s="12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06"/>
      <c r="P34" s="130"/>
      <c r="Q34" s="110" t="str">
        <f t="shared" si="0"/>
        <v/>
      </c>
      <c r="R34" s="108"/>
      <c r="S34" s="108"/>
      <c r="T34" s="111" t="str">
        <f t="shared" si="1"/>
        <v/>
      </c>
      <c r="U34" s="108"/>
      <c r="V34" s="108"/>
      <c r="W34" s="108"/>
      <c r="X34" s="112" t="str">
        <f t="shared" si="7"/>
        <v/>
      </c>
      <c r="Y34" s="113" t="str">
        <f t="shared" si="2"/>
        <v/>
      </c>
      <c r="Z34" s="111" t="str">
        <f t="shared" si="3"/>
        <v/>
      </c>
      <c r="AA34" s="113" t="str">
        <f t="shared" si="4"/>
        <v/>
      </c>
      <c r="AB34" s="111" t="str">
        <f t="shared" si="8"/>
        <v/>
      </c>
      <c r="AC34" s="114" t="str">
        <f t="shared" si="5"/>
        <v/>
      </c>
      <c r="AD34" s="123"/>
      <c r="AE34" s="108"/>
      <c r="AF34" s="107"/>
      <c r="AG34" s="107"/>
      <c r="AH34" s="109"/>
      <c r="AI34" s="109"/>
      <c r="AJ34" s="107"/>
      <c r="AK34" s="106"/>
    </row>
    <row r="35" spans="1:37" ht="16.5" hidden="1" customHeight="1" x14ac:dyDescent="0.2">
      <c r="A35" s="115"/>
      <c r="B35" s="124"/>
      <c r="C35" s="124"/>
      <c r="D35" s="124"/>
      <c r="E35" s="124"/>
      <c r="F35" s="124"/>
      <c r="G35" s="129"/>
      <c r="H35" s="127" t="str">
        <f>IF(G35&lt;=0,"",IF(G35&lt;=2,"Muy Baja",IF(G35&lt;=24,"Baja",IF(G35&lt;=500,"Media",IF(G35&lt;=5000,"Alta","Muy Alta")))))</f>
        <v/>
      </c>
      <c r="I35" s="126" t="str">
        <f>IF(H35="","",IF(H35="Muy Baja",0.2,IF(H35="Baja",0.4,IF(H35="Media",0.6,IF(H35="Alta",0.8,IF(H35="Muy Alta",1,))))))</f>
        <v/>
      </c>
      <c r="J35" s="125"/>
      <c r="K35" s="126">
        <f ca="1">IF(NOT(ISERROR(MATCH(J35,'Tabla Impacto'!$B$221:$B$223,0))),'Tabla Impacto'!$F$223&amp;"Por favor no seleccionar los criterios de impacto(Afectación Económica o presupuestal y Pérdida Reputacional)",J35)</f>
        <v>0</v>
      </c>
      <c r="L35" s="127" t="str">
        <f ca="1">IF(OR(K35='Tabla Impacto'!$C$11,K35='Tabla Impacto'!$D$11),"Leve",IF(OR(K35='Tabla Impacto'!$C$12,K35='Tabla Impacto'!$D$12),"Menor",IF(OR(K35='Tabla Impacto'!$C$13,K35='Tabla Impacto'!$D$13),"Moderado",IF(OR(K35='Tabla Impacto'!$C$14,K35='Tabla Impacto'!$D$14),"Mayor",IF(OR(K35='Tabla Impacto'!$C$15,K35='Tabla Impacto'!$D$15),"Catastrófico","")))))</f>
        <v/>
      </c>
      <c r="M35" s="126" t="str">
        <f ca="1">IF(L35="","",IF(L35="Leve",0.2,IF(L35="Menor",0.4,IF(L35="Moderado",0.6,IF(L35="Mayor",0.8,IF(L35="Catastrófico",1,))))))</f>
        <v/>
      </c>
      <c r="N35" s="128" t="str">
        <f ca="1">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106"/>
      <c r="P35" s="130"/>
      <c r="Q35" s="110" t="str">
        <f t="shared" si="0"/>
        <v/>
      </c>
      <c r="R35" s="108"/>
      <c r="S35" s="108"/>
      <c r="T35" s="111" t="str">
        <f t="shared" si="1"/>
        <v/>
      </c>
      <c r="U35" s="108"/>
      <c r="V35" s="108"/>
      <c r="W35" s="108"/>
      <c r="X35" s="112" t="str">
        <f t="shared" si="7"/>
        <v/>
      </c>
      <c r="Y35" s="113" t="str">
        <f t="shared" si="2"/>
        <v/>
      </c>
      <c r="Z35" s="111" t="str">
        <f t="shared" si="3"/>
        <v/>
      </c>
      <c r="AA35" s="113" t="str">
        <f t="shared" si="4"/>
        <v/>
      </c>
      <c r="AB35" s="111" t="str">
        <f t="shared" si="8"/>
        <v/>
      </c>
      <c r="AC35" s="114" t="str">
        <f t="shared" si="5"/>
        <v/>
      </c>
      <c r="AD35" s="121"/>
      <c r="AE35" s="108"/>
      <c r="AF35" s="107"/>
      <c r="AG35" s="107"/>
      <c r="AH35" s="109"/>
      <c r="AI35" s="109"/>
      <c r="AJ35" s="107"/>
      <c r="AK35" s="106"/>
    </row>
    <row r="36" spans="1:37" x14ac:dyDescent="0.2">
      <c r="A36" s="177">
        <v>5</v>
      </c>
      <c r="B36" s="178"/>
      <c r="C36" s="181"/>
      <c r="D36" s="181"/>
      <c r="E36" s="181"/>
      <c r="F36" s="181"/>
      <c r="G36" s="177"/>
      <c r="H36" s="175" t="str">
        <f>IF(G36&lt;=0,"",IF(G36&lt;=2,"Muy Baja",IF(G36&lt;=24,"Baja",IF(G36&lt;=500,"Media",IF(G36&lt;=5000,"Alta","Muy Alta")))))</f>
        <v/>
      </c>
      <c r="I36" s="173" t="str">
        <f>IF(H36="","",IF(H36="Muy Baja",0.2,IF(H36="Baja",0.4,IF(H36="Media",0.6,IF(H36="Alta",0.8,IF(H36="Muy Alta",1,))))))</f>
        <v/>
      </c>
      <c r="J36" s="171"/>
      <c r="K36" s="173">
        <f>IF(NOT(ISERROR(MATCH(J36,'[1]Tabla Impacto'!$B$221:$B$223,0))),'[1]Tabla Impacto'!$F$223&amp;"Por favor no seleccionar los criterios de impacto(Afectación Económica o presupuestal y Pérdida Reputacional)",J36)</f>
        <v>0</v>
      </c>
      <c r="L36" s="175" t="str">
        <f>IF(OR(K36='[1]Tabla Impacto'!$C$11,K36='[1]Tabla Impacto'!$D$11),"Leve",IF(OR(K36='[1]Tabla Impacto'!$C$12,K36='[1]Tabla Impacto'!$D$12),"Menor",IF(OR(K36='[1]Tabla Impacto'!$C$13,K36='[1]Tabla Impacto'!$D$13),"Moderado",IF(OR(K36='[1]Tabla Impacto'!$C$14,K36='[1]Tabla Impacto'!$D$14),"Mayor",IF(OR(K36='[1]Tabla Impacto'!$C$15,K36='[1]Tabla Impacto'!$D$15),"Catastrófico","")))))</f>
        <v/>
      </c>
      <c r="M36" s="173" t="str">
        <f>IF(L36="","",IF(L36="Leve",0.2,IF(L36="Menor",0.4,IF(L36="Moderado",0.6,IF(L36="Mayor",0.8,IF(L36="Catastrófico",1,))))))</f>
        <v/>
      </c>
      <c r="N36" s="176"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30"/>
      <c r="Q36" s="110" t="str">
        <f t="shared" si="0"/>
        <v/>
      </c>
      <c r="R36" s="108"/>
      <c r="S36" s="108"/>
      <c r="T36" s="111" t="str">
        <f t="shared" ref="T36:T38" si="12">IF(AND(R36="Preventivo",S36="Automático"),"50%",IF(AND(R36="Preventivo",S36="Manual"),"40%",IF(AND(R36="Detectivo",S36="Automático"),"40%",IF(AND(R36="Detectivo",S36="Manual"),"30%",IF(AND(R36="Correctivo",S36="Automático"),"35%",IF(AND(R36="Correctivo",S36="Manual"),"25%",""))))))</f>
        <v/>
      </c>
      <c r="U36" s="131"/>
      <c r="V36" s="131"/>
      <c r="W36" s="131"/>
      <c r="X36" s="112" t="str">
        <f>IFERROR(IF(Q36="Probabilidad",(I36-(+I36*T36)),IF(Q36="Impacto",I36,"")),"")</f>
        <v/>
      </c>
      <c r="Y36" s="113" t="str">
        <f t="shared" si="2"/>
        <v/>
      </c>
      <c r="Z36" s="111" t="str">
        <f t="shared" si="3"/>
        <v/>
      </c>
      <c r="AA36" s="113" t="str">
        <f t="shared" si="4"/>
        <v/>
      </c>
      <c r="AB36" s="111" t="str">
        <f>IFERROR(IF(Q36="Impacto",(M36-(+M36*T36)),IF(Q36="Probabilidad",M36,"")),"")</f>
        <v/>
      </c>
      <c r="AC36" s="114" t="str">
        <f t="shared" si="5"/>
        <v/>
      </c>
      <c r="AD36" s="201" t="b">
        <f>IFERROR(IF(OR(AND(AC36="Bajo",AC37="Bajo",AC38="Bajo"),AND(AC36="Bajo",AC37="Bajo",AC38=""),AND(AC36="Bajo",AC37="",AC38="")),"Bajo",IF(OR(AND(AC36="Bajo",AC37="Bajo",AC38="Moderado"),AND(AC36="Bajo",AC37="Moderado",AC38="Moderado"),AND(AC36="Moderado",AC37="Moderado",AC38="Moderado"),AND(AC36="Bajo",AC37="Moderado",AC38=""),AND(AC36="Moderado",AC37="Bajo",AC38=""),AND(AC36="Moderado",AC37="Moderado",AC38=""),AND(AC36="Moderado",AC37="",AC38="")),"Moderado",IF(OR(AND(AC36="Bajo",AC37="Bajo",AC38="Alto"),AND(AC36="Bajo",AC37="Moderado",AC38="Alto"),AND(AC36="Moderado",AC37="Bajo",AC38="Alto"),AND(AC36="Moderado",AC37="Alto",AC38="Bajo"),AND(AC36="Moderado",AC37="Moderado",AC38="Alto"),AND(AC36="Alto",AC37="Bajo",AC38="Bajo"),AND(AC36="Alto",AC37="Moderado",AC38="Bajo"),AND(AC36="Alto",AC37="Moderado",AC38="Moderado"),AND(AC36="Alto",AC37="Alto",AC38="Bajo"),AND(AC36="Alto",AC37="Alto",AC38="Moderado"),AND(AC36="Alto",AC37="Alto",AC38="Alto"),AND(AC36="Alto",AC37="Bajo",AC38=""),AND(AC36="Alto",AC37="Moderado",AC38=""),AND(AC36="Alto",AC37="Alto",AC38=""),AND(AC36="Bajo",AC37="Alto",AC38=""),AND(AC36="Moderado",AC37="Alto",AC38=""),AND(AC36="Alto",AC37="",AC38="")),"Alto",IF(OR(AND(AC36="Bajo",AC37="Bajo",AC38="Extremo"),AND(AC36="Bajo",AC37="Moderado",AC38="Extremo"),AND(AC36="Bajo",AC37="Alto",AC38="Extremo"),AND(AC36="Moderado",AC37="Bajo",AC38="Extremo"),AND(AC36="Moderado",AC37="Alto",AC38="Extremo"),AND(AC36="Moderado",AC37="Moderado",AC38="Extremo"),AND(AC36="Alto",AC37="Bajo",AC38="Extremo"),AND(AC36="Alto",AC37="Moderado",AC38="Extremo"),AND(AC36="Alto",AC37="Alto",AC38="Extremo"),AND(AC36="Extremo",AC37="Bajo",AC38="Bajo"),AND(AC36="Extremo",AC37="Bajo",AC38="Moderado"),AND(AC36="Extremo",AC37="Bajo",AC38="Alto"),AND(AC36="Extremo",AC37="Moderado",AC38="Bajo"),AND(AC36="Extremo",AC37="Moderado",AC38="Moderado"),AND(AC36="Extremo",AC37="Moderado",AC38="Alto"),AND(AC36="Extremo",AC37="Alto",AC38="Bajo"),AND(AC36="Extremo",AC37="Alto",AC38="Moderado"),AND(AC36="Extremo",AC37="Alto",AC38="Alto"),AND(AC36="Extremo",AC37="Extremo",AC38="Bajo"),AND(AC36="Extremo",AC37="Extremo",AC38="Moderado"),AND(AC36="Extremo",AC37="Extremo",AC38="Alto"),AND(AC36="Extremo",AC37="Extremo",AC38="Extremo"),AND(AC36="Extremo",AC37="Bajo",AC38=""),AND(AC36="Extremo",AC37="Moderado",AC38=""),AND(AC36="Extremo",AC37="Alto",AC38=""),AND(AC36="Extremo",AC37="",AC38="")),"Extremo")))),"")</f>
        <v>0</v>
      </c>
      <c r="AE36" s="142"/>
      <c r="AF36" s="107"/>
      <c r="AG36" s="107"/>
      <c r="AH36" s="109"/>
      <c r="AI36" s="109"/>
      <c r="AJ36" s="107"/>
      <c r="AK36" s="106"/>
    </row>
    <row r="37" spans="1:37" x14ac:dyDescent="0.2">
      <c r="A37" s="172"/>
      <c r="B37" s="179"/>
      <c r="C37" s="181"/>
      <c r="D37" s="181"/>
      <c r="E37" s="172"/>
      <c r="F37" s="172"/>
      <c r="G37" s="172"/>
      <c r="H37" s="174"/>
      <c r="I37" s="174"/>
      <c r="J37" s="172"/>
      <c r="K37" s="174"/>
      <c r="L37" s="174"/>
      <c r="M37" s="174"/>
      <c r="N37" s="174"/>
      <c r="O37" s="106">
        <v>2</v>
      </c>
      <c r="P37" s="130"/>
      <c r="Q37" s="110" t="str">
        <f t="shared" si="0"/>
        <v/>
      </c>
      <c r="R37" s="108"/>
      <c r="S37" s="108"/>
      <c r="T37" s="111" t="str">
        <f t="shared" si="12"/>
        <v/>
      </c>
      <c r="U37" s="131"/>
      <c r="V37" s="131"/>
      <c r="W37" s="131"/>
      <c r="X37" s="112" t="str">
        <f>IFERROR(IF(AND(Q36="Probabilidad",Q37="Probabilidad"),(Z36-(+Z36*T37)),IF(Q37="Probabilidad",(I36-(+I36*T37)),IF(Q37="Impacto",Z36,""))),"")</f>
        <v/>
      </c>
      <c r="Y37" s="113" t="str">
        <f t="shared" si="2"/>
        <v/>
      </c>
      <c r="Z37" s="111" t="str">
        <f t="shared" si="3"/>
        <v/>
      </c>
      <c r="AA37" s="113" t="str">
        <f t="shared" si="4"/>
        <v/>
      </c>
      <c r="AB37" s="111" t="str">
        <f>IFERROR(IF(AND(Q36="Impacto",Q37="Impacto"),(AB36-(+AB36*T37)),IF(Q37="Impacto",($M$16-(+$M$16*T37)),IF(Q37="Probabilidad",AB36,""))),"")</f>
        <v/>
      </c>
      <c r="AC37" s="114" t="str">
        <f t="shared" si="5"/>
        <v/>
      </c>
      <c r="AD37" s="202"/>
      <c r="AE37" s="143"/>
      <c r="AF37" s="107"/>
      <c r="AG37" s="107"/>
      <c r="AH37" s="109"/>
      <c r="AI37" s="109"/>
      <c r="AJ37" s="107"/>
      <c r="AK37" s="106"/>
    </row>
    <row r="38" spans="1:37" x14ac:dyDescent="0.2">
      <c r="A38" s="172"/>
      <c r="B38" s="180"/>
      <c r="C38" s="181"/>
      <c r="D38" s="181"/>
      <c r="E38" s="172"/>
      <c r="F38" s="172"/>
      <c r="G38" s="172"/>
      <c r="H38" s="174"/>
      <c r="I38" s="174"/>
      <c r="J38" s="172"/>
      <c r="K38" s="174"/>
      <c r="L38" s="174"/>
      <c r="M38" s="174"/>
      <c r="N38" s="174"/>
      <c r="O38" s="106">
        <v>3</v>
      </c>
      <c r="P38" s="130"/>
      <c r="Q38" s="110" t="str">
        <f t="shared" si="0"/>
        <v/>
      </c>
      <c r="R38" s="108"/>
      <c r="S38" s="108"/>
      <c r="T38" s="111" t="str">
        <f t="shared" si="12"/>
        <v/>
      </c>
      <c r="U38" s="131"/>
      <c r="V38" s="131"/>
      <c r="W38" s="131"/>
      <c r="X38" s="112" t="str">
        <f>IFERROR(IF(AND(Q37="Probabilidad",Q38="Probabilidad"),(Z37-(+Z37*T38)),IF(AND(Q37="Impacto",Q38="Probabilidad"),(Z36-(+Z36*T38)),IF(Q38="Impacto",Z37,""))),"")</f>
        <v/>
      </c>
      <c r="Y38" s="113" t="str">
        <f t="shared" si="2"/>
        <v/>
      </c>
      <c r="Z38" s="111" t="str">
        <f t="shared" si="3"/>
        <v/>
      </c>
      <c r="AA38" s="113" t="str">
        <f t="shared" si="4"/>
        <v/>
      </c>
      <c r="AB38" s="111" t="str">
        <f>IFERROR(IF(AND(Q37="Impacto",Q38="Impacto"),(AB37-(+AB37*T38)),IF(AND(Q37="Probabilidad",Q38="Impacto"),(AB36-(+AB36*T38)),IF(Q38="Probabilidad",AB37,""))),"")</f>
        <v/>
      </c>
      <c r="AC38" s="114" t="str">
        <f t="shared" si="5"/>
        <v/>
      </c>
      <c r="AD38" s="203"/>
      <c r="AE38" s="144"/>
      <c r="AF38" s="107"/>
      <c r="AG38" s="107"/>
      <c r="AH38" s="109"/>
      <c r="AI38" s="109"/>
      <c r="AJ38" s="107"/>
      <c r="AK38" s="106"/>
    </row>
    <row r="39" spans="1:37" ht="16.5" hidden="1" customHeight="1" x14ac:dyDescent="0.2">
      <c r="A39" s="115"/>
      <c r="B39" s="124"/>
      <c r="C39" s="124"/>
      <c r="D39" s="124"/>
      <c r="E39" s="124"/>
      <c r="F39" s="124"/>
      <c r="G39" s="129"/>
      <c r="H39" s="127" t="str">
        <f>IF(G39&lt;=0,"",IF(G39&lt;=2,"Muy Baja",IF(G39&lt;=24,"Baja",IF(G39&lt;=500,"Media",IF(G39&lt;=5000,"Alta","Muy Alta")))))</f>
        <v/>
      </c>
      <c r="I39" s="126" t="str">
        <f>IF(H39="","",IF(H39="Muy Baja",0.2,IF(H39="Baja",0.4,IF(H39="Media",0.6,IF(H39="Alta",0.8,IF(H39="Muy Alta",1,))))))</f>
        <v/>
      </c>
      <c r="J39" s="125"/>
      <c r="K39" s="126">
        <f ca="1">IF(NOT(ISERROR(MATCH(J39,'Tabla Impacto'!$B$221:$B$223,0))),'Tabla Impacto'!$F$223&amp;"Por favor no seleccionar los criterios de impacto(Afectación Económica o presupuestal y Pérdida Reputacional)",J39)</f>
        <v>0</v>
      </c>
      <c r="L39" s="127" t="str">
        <f ca="1">IF(OR(K39='Tabla Impacto'!$C$11,K39='Tabla Impacto'!$D$11),"Leve",IF(OR(K39='Tabla Impacto'!$C$12,K39='Tabla Impacto'!$D$12),"Menor",IF(OR(K39='Tabla Impacto'!$C$13,K39='Tabla Impacto'!$D$13),"Moderado",IF(OR(K39='Tabla Impacto'!$C$14,K39='Tabla Impacto'!$D$14),"Mayor",IF(OR(K39='Tabla Impacto'!$C$15,K39='Tabla Impacto'!$D$15),"Catastrófico","")))))</f>
        <v/>
      </c>
      <c r="M39" s="126" t="str">
        <f ca="1">IF(L39="","",IF(L39="Leve",0.2,IF(L39="Menor",0.4,IF(L39="Moderado",0.6,IF(L39="Mayor",0.8,IF(L39="Catastrófico",1,))))))</f>
        <v/>
      </c>
      <c r="N39" s="128" t="str">
        <f ca="1">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106"/>
      <c r="P39" s="130"/>
      <c r="Q39" s="110" t="str">
        <f t="shared" si="0"/>
        <v/>
      </c>
      <c r="R39" s="108"/>
      <c r="S39" s="108"/>
      <c r="T39" s="111" t="str">
        <f t="shared" si="1"/>
        <v/>
      </c>
      <c r="U39" s="108"/>
      <c r="V39" s="108"/>
      <c r="W39" s="108"/>
      <c r="X39" s="112" t="str">
        <f t="shared" si="7"/>
        <v/>
      </c>
      <c r="Y39" s="113" t="str">
        <f t="shared" si="2"/>
        <v/>
      </c>
      <c r="Z39" s="111" t="str">
        <f t="shared" si="3"/>
        <v/>
      </c>
      <c r="AA39" s="113" t="str">
        <f t="shared" si="4"/>
        <v/>
      </c>
      <c r="AB39" s="111" t="str">
        <f t="shared" si="8"/>
        <v/>
      </c>
      <c r="AC39" s="114" t="str">
        <f t="shared" si="5"/>
        <v/>
      </c>
      <c r="AD39" s="123"/>
      <c r="AE39" s="108"/>
      <c r="AF39" s="107"/>
      <c r="AG39" s="107"/>
      <c r="AH39" s="109"/>
      <c r="AI39" s="109"/>
      <c r="AJ39" s="107"/>
      <c r="AK39" s="106"/>
    </row>
    <row r="40" spans="1:37" ht="16.5" hidden="1" customHeight="1" x14ac:dyDescent="0.2">
      <c r="A40" s="115"/>
      <c r="B40" s="124"/>
      <c r="C40" s="124"/>
      <c r="D40" s="124"/>
      <c r="E40" s="124"/>
      <c r="F40" s="124"/>
      <c r="G40" s="129"/>
      <c r="H40" s="127" t="str">
        <f>IF(G40&lt;=0,"",IF(G40&lt;=2,"Muy Baja",IF(G40&lt;=24,"Baja",IF(G40&lt;=500,"Media",IF(G40&lt;=5000,"Alta","Muy Alta")))))</f>
        <v/>
      </c>
      <c r="I40" s="126" t="str">
        <f>IF(H40="","",IF(H40="Muy Baja",0.2,IF(H40="Baja",0.4,IF(H40="Media",0.6,IF(H40="Alta",0.8,IF(H40="Muy Alta",1,))))))</f>
        <v/>
      </c>
      <c r="J40" s="125"/>
      <c r="K40" s="126">
        <f ca="1">IF(NOT(ISERROR(MATCH(J40,'Tabla Impacto'!$B$221:$B$223,0))),'Tabla Impacto'!$F$223&amp;"Por favor no seleccionar los criterios de impacto(Afectación Económica o presupuestal y Pérdida Reputacional)",J40)</f>
        <v>0</v>
      </c>
      <c r="L40" s="127" t="str">
        <f ca="1">IF(OR(K40='Tabla Impacto'!$C$11,K40='Tabla Impacto'!$D$11),"Leve",IF(OR(K40='Tabla Impacto'!$C$12,K40='Tabla Impacto'!$D$12),"Menor",IF(OR(K40='Tabla Impacto'!$C$13,K40='Tabla Impacto'!$D$13),"Moderado",IF(OR(K40='Tabla Impacto'!$C$14,K40='Tabla Impacto'!$D$14),"Mayor",IF(OR(K40='Tabla Impacto'!$C$15,K40='Tabla Impacto'!$D$15),"Catastrófico","")))))</f>
        <v/>
      </c>
      <c r="M40" s="126" t="str">
        <f ca="1">IF(L40="","",IF(L40="Leve",0.2,IF(L40="Menor",0.4,IF(L40="Moderado",0.6,IF(L40="Mayor",0.8,IF(L40="Catastrófico",1,))))))</f>
        <v/>
      </c>
      <c r="N40" s="12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06"/>
      <c r="P40" s="130"/>
      <c r="Q40" s="110" t="str">
        <f t="shared" si="0"/>
        <v/>
      </c>
      <c r="R40" s="108"/>
      <c r="S40" s="108"/>
      <c r="T40" s="111" t="str">
        <f t="shared" si="1"/>
        <v/>
      </c>
      <c r="U40" s="108"/>
      <c r="V40" s="108"/>
      <c r="W40" s="108"/>
      <c r="X40" s="112" t="str">
        <f t="shared" si="7"/>
        <v/>
      </c>
      <c r="Y40" s="113" t="str">
        <f t="shared" si="2"/>
        <v/>
      </c>
      <c r="Z40" s="111" t="str">
        <f t="shared" si="3"/>
        <v/>
      </c>
      <c r="AA40" s="113" t="str">
        <f t="shared" si="4"/>
        <v/>
      </c>
      <c r="AB40" s="111" t="str">
        <f t="shared" si="8"/>
        <v/>
      </c>
      <c r="AC40" s="114" t="str">
        <f t="shared" si="5"/>
        <v/>
      </c>
      <c r="AD40" s="121"/>
      <c r="AE40" s="108"/>
      <c r="AF40" s="107"/>
      <c r="AG40" s="107"/>
      <c r="AH40" s="109"/>
      <c r="AI40" s="109"/>
      <c r="AJ40" s="107"/>
      <c r="AK40" s="106"/>
    </row>
    <row r="41" spans="1:37" x14ac:dyDescent="0.2">
      <c r="A41" s="177">
        <v>6</v>
      </c>
      <c r="B41" s="178"/>
      <c r="C41" s="181"/>
      <c r="D41" s="181"/>
      <c r="E41" s="181"/>
      <c r="F41" s="181"/>
      <c r="G41" s="177"/>
      <c r="H41" s="175" t="str">
        <f>IF(G41&lt;=0,"",IF(G41&lt;=2,"Muy Baja",IF(G41&lt;=24,"Baja",IF(G41&lt;=500,"Media",IF(G41&lt;=5000,"Alta","Muy Alta")))))</f>
        <v/>
      </c>
      <c r="I41" s="173" t="str">
        <f>IF(H41="","",IF(H41="Muy Baja",0.2,IF(H41="Baja",0.4,IF(H41="Media",0.6,IF(H41="Alta",0.8,IF(H41="Muy Alta",1,))))))</f>
        <v/>
      </c>
      <c r="J41" s="171"/>
      <c r="K41" s="173">
        <f>IF(NOT(ISERROR(MATCH(J41,'[1]Tabla Impacto'!$B$221:$B$223,0))),'[1]Tabla Impacto'!$F$223&amp;"Por favor no seleccionar los criterios de impacto(Afectación Económica o presupuestal y Pérdida Reputacional)",J41)</f>
        <v>0</v>
      </c>
      <c r="L41" s="175" t="str">
        <f>IF(OR(K41='[1]Tabla Impacto'!$C$11,K41='[1]Tabla Impacto'!$D$11),"Leve",IF(OR(K41='[1]Tabla Impacto'!$C$12,K41='[1]Tabla Impacto'!$D$12),"Menor",IF(OR(K41='[1]Tabla Impacto'!$C$13,K41='[1]Tabla Impacto'!$D$13),"Moderado",IF(OR(K41='[1]Tabla Impacto'!$C$14,K41='[1]Tabla Impacto'!$D$14),"Mayor",IF(OR(K41='[1]Tabla Impacto'!$C$15,K41='[1]Tabla Impacto'!$D$15),"Catastrófico","")))))</f>
        <v/>
      </c>
      <c r="M41" s="173" t="str">
        <f>IF(L41="","",IF(L41="Leve",0.2,IF(L41="Menor",0.4,IF(L41="Moderado",0.6,IF(L41="Mayor",0.8,IF(L41="Catastrófico",1,))))))</f>
        <v/>
      </c>
      <c r="N41" s="176"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
      </c>
      <c r="O41" s="106">
        <v>1</v>
      </c>
      <c r="P41" s="130"/>
      <c r="Q41" s="110" t="str">
        <f t="shared" si="0"/>
        <v/>
      </c>
      <c r="R41" s="108"/>
      <c r="S41" s="108"/>
      <c r="T41" s="111" t="str">
        <f t="shared" ref="T41:T43" si="13">IF(AND(R41="Preventivo",S41="Automático"),"50%",IF(AND(R41="Preventivo",S41="Manual"),"40%",IF(AND(R41="Detectivo",S41="Automático"),"40%",IF(AND(R41="Detectivo",S41="Manual"),"30%",IF(AND(R41="Correctivo",S41="Automático"),"35%",IF(AND(R41="Correctivo",S41="Manual"),"25%",""))))))</f>
        <v/>
      </c>
      <c r="U41" s="131"/>
      <c r="V41" s="131"/>
      <c r="W41" s="131"/>
      <c r="X41" s="112" t="str">
        <f>IFERROR(IF(Q41="Probabilidad",(I41-(+I41*T41)),IF(Q41="Impacto",I41,"")),"")</f>
        <v/>
      </c>
      <c r="Y41" s="113" t="str">
        <f t="shared" si="2"/>
        <v/>
      </c>
      <c r="Z41" s="111" t="str">
        <f t="shared" si="3"/>
        <v/>
      </c>
      <c r="AA41" s="113" t="str">
        <f t="shared" si="4"/>
        <v/>
      </c>
      <c r="AB41" s="111" t="str">
        <f>IFERROR(IF(Q41="Impacto",(M41-(+M41*T41)),IF(Q41="Probabilidad",M41,"")),"")</f>
        <v/>
      </c>
      <c r="AC41" s="114" t="str">
        <f t="shared" si="5"/>
        <v/>
      </c>
      <c r="AD41" s="201" t="b">
        <f>IFERROR(IF(OR(AND(AC41="Bajo",AC42="Bajo",AC43="Bajo"),AND(AC41="Bajo",AC42="Bajo",AC43=""),AND(AC41="Bajo",AC42="",AC43="")),"Bajo",IF(OR(AND(AC41="Bajo",AC42="Bajo",AC43="Moderado"),AND(AC41="Bajo",AC42="Moderado",AC43="Moderado"),AND(AC41="Moderado",AC42="Moderado",AC43="Moderado"),AND(AC41="Bajo",AC42="Moderado",AC43=""),AND(AC41="Moderado",AC42="Bajo",AC43=""),AND(AC41="Moderado",AC42="Moderado",AC43=""),AND(AC41="Moderado",AC42="",AC43="")),"Moderado",IF(OR(AND(AC41="Bajo",AC42="Bajo",AC43="Alto"),AND(AC41="Bajo",AC42="Moderado",AC43="Alto"),AND(AC41="Moderado",AC42="Bajo",AC43="Alto"),AND(AC41="Moderado",AC42="Alto",AC43="Bajo"),AND(AC41="Moderado",AC42="Moderado",AC43="Alto"),AND(AC41="Alto",AC42="Bajo",AC43="Bajo"),AND(AC41="Alto",AC42="Moderado",AC43="Bajo"),AND(AC41="Alto",AC42="Moderado",AC43="Moderado"),AND(AC41="Alto",AC42="Alto",AC43="Bajo"),AND(AC41="Alto",AC42="Alto",AC43="Moderado"),AND(AC41="Alto",AC42="Alto",AC43="Alto"),AND(AC41="Alto",AC42="Bajo",AC43=""),AND(AC41="Alto",AC42="Moderado",AC43=""),AND(AC41="Alto",AC42="Alto",AC43=""),AND(AC41="Bajo",AC42="Alto",AC43=""),AND(AC41="Moderado",AC42="Alto",AC43=""),AND(AC41="Alto",AC42="",AC43="")),"Alto",IF(OR(AND(AC41="Bajo",AC42="Bajo",AC43="Extremo"),AND(AC41="Bajo",AC42="Moderado",AC43="Extremo"),AND(AC41="Bajo",AC42="Alto",AC43="Extremo"),AND(AC41="Moderado",AC42="Bajo",AC43="Extremo"),AND(AC41="Moderado",AC42="Alto",AC43="Extremo"),AND(AC41="Moderado",AC42="Moderado",AC43="Extremo"),AND(AC41="Alto",AC42="Bajo",AC43="Extremo"),AND(AC41="Alto",AC42="Moderado",AC43="Extremo"),AND(AC41="Alto",AC42="Alto",AC43="Extremo"),AND(AC41="Extremo",AC42="Bajo",AC43="Bajo"),AND(AC41="Extremo",AC42="Bajo",AC43="Moderado"),AND(AC41="Extremo",AC42="Bajo",AC43="Alto"),AND(AC41="Extremo",AC42="Moderado",AC43="Bajo"),AND(AC41="Extremo",AC42="Moderado",AC43="Moderado"),AND(AC41="Extremo",AC42="Moderado",AC43="Alto"),AND(AC41="Extremo",AC42="Alto",AC43="Bajo"),AND(AC41="Extremo",AC42="Alto",AC43="Moderado"),AND(AC41="Extremo",AC42="Alto",AC43="Alto"),AND(AC41="Extremo",AC42="Extremo",AC43="Bajo"),AND(AC41="Extremo",AC42="Extremo",AC43="Moderado"),AND(AC41="Extremo",AC42="Extremo",AC43="Alto"),AND(AC41="Extremo",AC42="Extremo",AC43="Extremo"),AND(AC41="Extremo",AC42="Bajo",AC43=""),AND(AC41="Extremo",AC42="Moderado",AC43=""),AND(AC41="Extremo",AC42="Alto",AC43=""),AND(AC41="Extremo",AC42="",AC43="")),"Extremo")))),"")</f>
        <v>0</v>
      </c>
      <c r="AE41" s="142"/>
      <c r="AF41" s="107"/>
      <c r="AG41" s="107"/>
      <c r="AH41" s="109"/>
      <c r="AI41" s="109"/>
      <c r="AJ41" s="107"/>
      <c r="AK41" s="106"/>
    </row>
    <row r="42" spans="1:37" x14ac:dyDescent="0.2">
      <c r="A42" s="172"/>
      <c r="B42" s="179"/>
      <c r="C42" s="181"/>
      <c r="D42" s="181"/>
      <c r="E42" s="172"/>
      <c r="F42" s="172"/>
      <c r="G42" s="172"/>
      <c r="H42" s="174"/>
      <c r="I42" s="174"/>
      <c r="J42" s="172"/>
      <c r="K42" s="174"/>
      <c r="L42" s="174"/>
      <c r="M42" s="174"/>
      <c r="N42" s="174"/>
      <c r="O42" s="106">
        <v>2</v>
      </c>
      <c r="P42" s="130"/>
      <c r="Q42" s="110" t="str">
        <f t="shared" si="0"/>
        <v/>
      </c>
      <c r="R42" s="108"/>
      <c r="S42" s="108"/>
      <c r="T42" s="111" t="str">
        <f t="shared" si="13"/>
        <v/>
      </c>
      <c r="U42" s="131"/>
      <c r="V42" s="131"/>
      <c r="W42" s="131"/>
      <c r="X42" s="112" t="str">
        <f>IFERROR(IF(AND(Q41="Probabilidad",Q42="Probabilidad"),(Z41-(+Z41*T42)),IF(Q42="Probabilidad",(I41-(+I41*T42)),IF(Q42="Impacto",Z41,""))),"")</f>
        <v/>
      </c>
      <c r="Y42" s="113" t="str">
        <f t="shared" si="2"/>
        <v/>
      </c>
      <c r="Z42" s="111" t="str">
        <f t="shared" si="3"/>
        <v/>
      </c>
      <c r="AA42" s="113" t="str">
        <f t="shared" si="4"/>
        <v/>
      </c>
      <c r="AB42" s="111" t="str">
        <f>IFERROR(IF(AND(Q41="Impacto",Q42="Impacto"),(AB41-(+AB41*T42)),IF(Q42="Impacto",($M$16-(+$M$16*T42)),IF(Q42="Probabilidad",AB41,""))),"")</f>
        <v/>
      </c>
      <c r="AC42" s="114" t="str">
        <f t="shared" si="5"/>
        <v/>
      </c>
      <c r="AD42" s="202"/>
      <c r="AE42" s="143"/>
      <c r="AF42" s="107"/>
      <c r="AG42" s="107"/>
      <c r="AH42" s="109"/>
      <c r="AI42" s="109"/>
      <c r="AJ42" s="107"/>
      <c r="AK42" s="106"/>
    </row>
    <row r="43" spans="1:37" x14ac:dyDescent="0.2">
      <c r="A43" s="172"/>
      <c r="B43" s="180"/>
      <c r="C43" s="181"/>
      <c r="D43" s="181"/>
      <c r="E43" s="172"/>
      <c r="F43" s="172"/>
      <c r="G43" s="172"/>
      <c r="H43" s="174"/>
      <c r="I43" s="174"/>
      <c r="J43" s="172"/>
      <c r="K43" s="174"/>
      <c r="L43" s="174"/>
      <c r="M43" s="174"/>
      <c r="N43" s="174"/>
      <c r="O43" s="106">
        <v>3</v>
      </c>
      <c r="P43" s="130"/>
      <c r="Q43" s="110" t="str">
        <f t="shared" si="0"/>
        <v/>
      </c>
      <c r="R43" s="108"/>
      <c r="S43" s="108"/>
      <c r="T43" s="111" t="str">
        <f t="shared" si="13"/>
        <v/>
      </c>
      <c r="U43" s="131"/>
      <c r="V43" s="131"/>
      <c r="W43" s="131"/>
      <c r="X43" s="112" t="str">
        <f>IFERROR(IF(AND(Q42="Probabilidad",Q43="Probabilidad"),(Z42-(+Z42*T43)),IF(AND(Q42="Impacto",Q43="Probabilidad"),(Z41-(+Z41*T43)),IF(Q43="Impacto",Z42,""))),"")</f>
        <v/>
      </c>
      <c r="Y43" s="113" t="str">
        <f t="shared" si="2"/>
        <v/>
      </c>
      <c r="Z43" s="111" t="str">
        <f t="shared" si="3"/>
        <v/>
      </c>
      <c r="AA43" s="113" t="str">
        <f t="shared" si="4"/>
        <v/>
      </c>
      <c r="AB43" s="111" t="str">
        <f>IFERROR(IF(AND(Q42="Impacto",Q43="Impacto"),(AB42-(+AB42*T43)),IF(AND(Q42="Probabilidad",Q43="Impacto"),(AB41-(+AB41*T43)),IF(Q43="Probabilidad",AB42,""))),"")</f>
        <v/>
      </c>
      <c r="AC43" s="114" t="str">
        <f t="shared" si="5"/>
        <v/>
      </c>
      <c r="AD43" s="203"/>
      <c r="AE43" s="144"/>
      <c r="AF43" s="107"/>
      <c r="AG43" s="107"/>
      <c r="AH43" s="109"/>
      <c r="AI43" s="109"/>
      <c r="AJ43" s="107"/>
      <c r="AK43" s="106"/>
    </row>
    <row r="44" spans="1:37" hidden="1" x14ac:dyDescent="0.2">
      <c r="A44" s="115"/>
      <c r="B44" s="124"/>
      <c r="C44" s="124"/>
      <c r="D44" s="124"/>
      <c r="E44" s="124"/>
      <c r="F44" s="124"/>
      <c r="G44" s="129"/>
      <c r="H44" s="127" t="str">
        <f>IF(G44&lt;=0,"",IF(G44&lt;=2,"Muy Baja",IF(G44&lt;=24,"Baja",IF(G44&lt;=500,"Media",IF(G44&lt;=5000,"Alta","Muy Alta")))))</f>
        <v/>
      </c>
      <c r="I44" s="126" t="str">
        <f>IF(H44="","",IF(H44="Muy Baja",0.2,IF(H44="Baja",0.4,IF(H44="Media",0.6,IF(H44="Alta",0.8,IF(H44="Muy Alta",1,))))))</f>
        <v/>
      </c>
      <c r="J44" s="125"/>
      <c r="K44" s="126">
        <f ca="1">IF(NOT(ISERROR(MATCH(J44,'Tabla Impacto'!$B$221:$B$223,0))),'Tabla Impacto'!$F$223&amp;"Por favor no seleccionar los criterios de impacto(Afectación Económica o presupuestal y Pérdida Reputacional)",J44)</f>
        <v>0</v>
      </c>
      <c r="L44" s="127" t="str">
        <f ca="1">IF(OR(K44='Tabla Impacto'!$C$11,K44='Tabla Impacto'!$D$11),"Leve",IF(OR(K44='Tabla Impacto'!$C$12,K44='Tabla Impacto'!$D$12),"Menor",IF(OR(K44='Tabla Impacto'!$C$13,K44='Tabla Impacto'!$D$13),"Moderado",IF(OR(K44='Tabla Impacto'!$C$14,K44='Tabla Impacto'!$D$14),"Mayor",IF(OR(K44='Tabla Impacto'!$C$15,K44='Tabla Impacto'!$D$15),"Catastrófico","")))))</f>
        <v/>
      </c>
      <c r="M44" s="126" t="str">
        <f ca="1">IF(L44="","",IF(L44="Leve",0.2,IF(L44="Menor",0.4,IF(L44="Moderado",0.6,IF(L44="Mayor",0.8,IF(L44="Catastrófico",1,))))))</f>
        <v/>
      </c>
      <c r="N44" s="128" t="str">
        <f ca="1">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106"/>
      <c r="P44" s="107"/>
      <c r="Q44" s="110"/>
      <c r="R44" s="108"/>
      <c r="S44" s="108"/>
      <c r="T44" s="111" t="str">
        <f t="shared" ref="T44:T45" si="14">IF(AND(R44="Preventivo",S44="Automático"),"50%",IF(AND(R44="Preventivo",S44="Manual"),"40%",IF(AND(R44="Detectivo",S44="Automático"),"40%",IF(AND(R44="Detectivo",S44="Manual"),"30%",IF(AND(R44="Correctivo",S44="Automático"),"35%",IF(AND(R44="Correctivo",S44="Manual"),"25%",""))))))</f>
        <v/>
      </c>
      <c r="U44" s="108"/>
      <c r="V44" s="108"/>
      <c r="W44" s="108"/>
      <c r="X44" s="112" t="str">
        <f t="shared" ref="X44:X45" si="15">IFERROR(IF(Q44="Probabilidad",(I44-(+I44*T44)),IF(Q44="Impacto",I44,"")),"")</f>
        <v/>
      </c>
      <c r="Y44" s="113" t="str">
        <f t="shared" ref="Y44:Y45" si="16">IFERROR(IF(X44="","",IF(X44&lt;=0.2,"Muy Baja",IF(X44&lt;=0.4,"Baja",IF(X44&lt;=0.6,"Media",IF(X44&lt;=0.8,"Alta","Muy Alta"))))),"")</f>
        <v/>
      </c>
      <c r="Z44" s="111" t="str">
        <f t="shared" ref="Z44:Z45" si="17">+X44</f>
        <v/>
      </c>
      <c r="AA44" s="113" t="str">
        <f t="shared" ref="AA44:AA45" si="18">IFERROR(IF(AB44="","",IF(AB44&lt;=0.2,"Leve",IF(AB44&lt;=0.4,"Menor",IF(AB44&lt;=0.6,"Moderado",IF(AB44&lt;=0.8,"Mayor","Catastrófico"))))),"")</f>
        <v/>
      </c>
      <c r="AB44" s="111" t="str">
        <f t="shared" ref="AB44:AB45" si="19">IFERROR(IF(Q44="Impacto",(M44-(+M44*T44)),IF(Q44="Probabilidad",M44,"")),"")</f>
        <v/>
      </c>
      <c r="AC44" s="114" t="str">
        <f t="shared" ref="AC44:AC45" si="2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23"/>
      <c r="AE44" s="108"/>
      <c r="AF44" s="107"/>
      <c r="AG44" s="107"/>
      <c r="AH44" s="109"/>
      <c r="AI44" s="109"/>
      <c r="AJ44" s="107"/>
      <c r="AK44" s="106"/>
    </row>
    <row r="45" spans="1:37" hidden="1" x14ac:dyDescent="0.2">
      <c r="A45" s="115"/>
      <c r="B45" s="124"/>
      <c r="C45" s="124"/>
      <c r="D45" s="124"/>
      <c r="E45" s="124"/>
      <c r="F45" s="124"/>
      <c r="G45" s="129"/>
      <c r="H45" s="127" t="str">
        <f>IF(G45&lt;=0,"",IF(G45&lt;=2,"Muy Baja",IF(G45&lt;=24,"Baja",IF(G45&lt;=500,"Media",IF(G45&lt;=5000,"Alta","Muy Alta")))))</f>
        <v/>
      </c>
      <c r="I45" s="126" t="str">
        <f>IF(H45="","",IF(H45="Muy Baja",0.2,IF(H45="Baja",0.4,IF(H45="Media",0.6,IF(H45="Alta",0.8,IF(H45="Muy Alta",1,))))))</f>
        <v/>
      </c>
      <c r="J45" s="125"/>
      <c r="K45" s="126">
        <f ca="1">IF(NOT(ISERROR(MATCH(J45,'Tabla Impacto'!$B$221:$B$223,0))),'Tabla Impacto'!$F$223&amp;"Por favor no seleccionar los criterios de impacto(Afectación Económica o presupuestal y Pérdida Reputacional)",J45)</f>
        <v>0</v>
      </c>
      <c r="L45" s="127" t="str">
        <f ca="1">IF(OR(K45='Tabla Impacto'!$C$11,K45='Tabla Impacto'!$D$11),"Leve",IF(OR(K45='Tabla Impacto'!$C$12,K45='Tabla Impacto'!$D$12),"Menor",IF(OR(K45='Tabla Impacto'!$C$13,K45='Tabla Impacto'!$D$13),"Moderado",IF(OR(K45='Tabla Impacto'!$C$14,K45='Tabla Impacto'!$D$14),"Mayor",IF(OR(K45='Tabla Impacto'!$C$15,K45='Tabla Impacto'!$D$15),"Catastrófico","")))))</f>
        <v/>
      </c>
      <c r="M45" s="126" t="str">
        <f ca="1">IF(L45="","",IF(L45="Leve",0.2,IF(L45="Menor",0.4,IF(L45="Moderado",0.6,IF(L45="Mayor",0.8,IF(L45="Catastrófico",1,))))))</f>
        <v/>
      </c>
      <c r="N45" s="128" t="str">
        <f ca="1">IF(OR(AND(H45="Muy Baja",L45="Leve"),AND(H45="Muy Baja",L45="Menor"),AND(H45="Baja",L45="Leve")),"Bajo",IF(OR(AND(H45="Muy baja",L45="Moderado"),AND(H45="Baja",L45="Menor"),AND(H45="Baja",L45="Moderado"),AND(H45="Media",L45="Leve"),AND(H45="Media",L45="Menor"),AND(H45="Media",L45="Moderado"),AND(H45="Alta",L45="Leve"),AND(H45="Alta",L45="Menor")),"Moderado",IF(OR(AND(H45="Muy Baja",L45="Mayor"),AND(H45="Baja",L45="Mayor"),AND(H45="Media",L45="Mayor"),AND(H45="Alta",L45="Moderado"),AND(H45="Alta",L45="Mayor"),AND(H45="Muy Alta",L45="Leve"),AND(H45="Muy Alta",L45="Menor"),AND(H45="Muy Alta",L45="Moderado"),AND(H45="Muy Alta",L45="Mayor")),"Alto",IF(OR(AND(H45="Muy Baja",L45="Catastrófico"),AND(H45="Baja",L45="Catastrófico"),AND(H45="Media",L45="Catastrófico"),AND(H45="Alta",L45="Catastrófico"),AND(H45="Muy Alta",L45="Catastrófico")),"Extremo",""))))</f>
        <v/>
      </c>
      <c r="O45" s="106"/>
      <c r="P45" s="107"/>
      <c r="Q45" s="106" t="str">
        <f t="shared" ref="Q45" si="21">IF(OR(R45="Preventivo",R45="Detectivo"),"Probabilidad",IF(R45="Correctivo","Impacto",""))</f>
        <v/>
      </c>
      <c r="R45" s="108"/>
      <c r="S45" s="108"/>
      <c r="T45" s="111" t="str">
        <f t="shared" si="14"/>
        <v/>
      </c>
      <c r="U45" s="108"/>
      <c r="V45" s="108"/>
      <c r="W45" s="108"/>
      <c r="X45" s="112" t="str">
        <f t="shared" si="15"/>
        <v/>
      </c>
      <c r="Y45" s="113" t="str">
        <f t="shared" si="16"/>
        <v/>
      </c>
      <c r="Z45" s="111" t="str">
        <f t="shared" si="17"/>
        <v/>
      </c>
      <c r="AA45" s="113" t="str">
        <f t="shared" si="18"/>
        <v/>
      </c>
      <c r="AB45" s="111" t="str">
        <f t="shared" si="19"/>
        <v/>
      </c>
      <c r="AC45" s="114" t="str">
        <f t="shared" si="20"/>
        <v/>
      </c>
      <c r="AD45" s="121"/>
      <c r="AE45" s="108"/>
      <c r="AF45" s="107"/>
      <c r="AG45" s="107"/>
      <c r="AH45" s="109"/>
      <c r="AI45" s="109"/>
      <c r="AJ45" s="107"/>
      <c r="AK45" s="106"/>
    </row>
    <row r="46" spans="1:37" s="118" customFormat="1" x14ac:dyDescent="0.2">
      <c r="A46" s="110"/>
      <c r="B46" s="206" t="s">
        <v>216</v>
      </c>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row>
    <row r="47" spans="1:37" x14ac:dyDescent="0.3">
      <c r="B47" s="120" t="s">
        <v>92</v>
      </c>
      <c r="AD47" s="117"/>
    </row>
    <row r="48" spans="1:37" x14ac:dyDescent="0.3">
      <c r="AD48" s="117"/>
    </row>
  </sheetData>
  <sheetProtection algorithmName="SHA-512" hashValue="MJRnfmb/iEo5Vm36kQGX4mvnn/sm+PUdMubom25awPv/uaeFRIh/e+DZ9pZdLlE6rIk9FHEthKvKQbpat+tXmA==" saltValue="FNqcJvtdn8zvMhAKBC2LDA==" spinCount="100000" sheet="1" formatCells="0" formatColumns="0" formatRows="0" insertRows="0" insertHyperlinks="0" deleteRows="0" selectLockedCells="1" sort="0" autoFilter="0"/>
  <mergeCells count="155">
    <mergeCell ref="AD10:AD12"/>
    <mergeCell ref="AD21:AD23"/>
    <mergeCell ref="AD16:AD18"/>
    <mergeCell ref="AD14:AD15"/>
    <mergeCell ref="AD31:AD33"/>
    <mergeCell ref="AD36:AD38"/>
    <mergeCell ref="AD41:AD43"/>
    <mergeCell ref="AD26:AD28"/>
    <mergeCell ref="B46:AK46"/>
    <mergeCell ref="L41:L43"/>
    <mergeCell ref="M41:M43"/>
    <mergeCell ref="N41:N43"/>
    <mergeCell ref="J41:J43"/>
    <mergeCell ref="K41:K43"/>
    <mergeCell ref="L36:L38"/>
    <mergeCell ref="M36:M38"/>
    <mergeCell ref="N36:N38"/>
    <mergeCell ref="B14:B15"/>
    <mergeCell ref="C14:C15"/>
    <mergeCell ref="J14:J15"/>
    <mergeCell ref="K14:K15"/>
    <mergeCell ref="L14:L15"/>
    <mergeCell ref="AC14:AC15"/>
    <mergeCell ref="AE14:AE15"/>
    <mergeCell ref="D36:D38"/>
    <mergeCell ref="E36:E38"/>
    <mergeCell ref="F36:F38"/>
    <mergeCell ref="G36:G38"/>
    <mergeCell ref="J36:J38"/>
    <mergeCell ref="K36:K38"/>
    <mergeCell ref="A41:A43"/>
    <mergeCell ref="B41:B43"/>
    <mergeCell ref="C41:C43"/>
    <mergeCell ref="D41:D43"/>
    <mergeCell ref="E41:E43"/>
    <mergeCell ref="F41:F43"/>
    <mergeCell ref="G41:G43"/>
    <mergeCell ref="H41:H43"/>
    <mergeCell ref="I41:I43"/>
    <mergeCell ref="A16:A18"/>
    <mergeCell ref="B16:B18"/>
    <mergeCell ref="C16:C18"/>
    <mergeCell ref="D16:D18"/>
    <mergeCell ref="E16:E18"/>
    <mergeCell ref="H36:H38"/>
    <mergeCell ref="I36:I38"/>
    <mergeCell ref="D14:D15"/>
    <mergeCell ref="E14:E15"/>
    <mergeCell ref="F14:F15"/>
    <mergeCell ref="G14:G15"/>
    <mergeCell ref="H14:H15"/>
    <mergeCell ref="I14:I15"/>
    <mergeCell ref="H26:H28"/>
    <mergeCell ref="I26:I28"/>
    <mergeCell ref="H21:H23"/>
    <mergeCell ref="I21:I23"/>
    <mergeCell ref="F16:F18"/>
    <mergeCell ref="G16:G18"/>
    <mergeCell ref="H16:H18"/>
    <mergeCell ref="I16:I18"/>
    <mergeCell ref="A36:A38"/>
    <mergeCell ref="B36:B38"/>
    <mergeCell ref="C36:C38"/>
    <mergeCell ref="AF14:AF15"/>
    <mergeCell ref="AG14:AG15"/>
    <mergeCell ref="AH14:AH15"/>
    <mergeCell ref="AI14:AI15"/>
    <mergeCell ref="M14:M15"/>
    <mergeCell ref="N14:N15"/>
    <mergeCell ref="O14:O15"/>
    <mergeCell ref="M16:M18"/>
    <mergeCell ref="N16:N18"/>
    <mergeCell ref="Z14:Z15"/>
    <mergeCell ref="AA14:AA15"/>
    <mergeCell ref="AB14:AB15"/>
    <mergeCell ref="AE16:AE18"/>
    <mergeCell ref="J16:J18"/>
    <mergeCell ref="K16:K18"/>
    <mergeCell ref="L16:L18"/>
    <mergeCell ref="A7:AK8"/>
    <mergeCell ref="A10:B10"/>
    <mergeCell ref="C10:N10"/>
    <mergeCell ref="O10:Q10"/>
    <mergeCell ref="A11:B11"/>
    <mergeCell ref="C11:N11"/>
    <mergeCell ref="C12:N12"/>
    <mergeCell ref="AJ14:AJ15"/>
    <mergeCell ref="AK14:AK15"/>
    <mergeCell ref="A12:B12"/>
    <mergeCell ref="A13:G13"/>
    <mergeCell ref="H13:N13"/>
    <mergeCell ref="O13:W13"/>
    <mergeCell ref="X13:AE13"/>
    <mergeCell ref="AF13:AK13"/>
    <mergeCell ref="A14:A15"/>
    <mergeCell ref="P14:P15"/>
    <mergeCell ref="Q14:Q15"/>
    <mergeCell ref="R14:W14"/>
    <mergeCell ref="X14:X15"/>
    <mergeCell ref="Y14:Y15"/>
    <mergeCell ref="N26:N28"/>
    <mergeCell ref="A26:A28"/>
    <mergeCell ref="B26:B28"/>
    <mergeCell ref="C26:C28"/>
    <mergeCell ref="D26:D28"/>
    <mergeCell ref="E26:E28"/>
    <mergeCell ref="F26:F28"/>
    <mergeCell ref="G26:G28"/>
    <mergeCell ref="N31:N33"/>
    <mergeCell ref="A31:A33"/>
    <mergeCell ref="B31:B33"/>
    <mergeCell ref="C31:C33"/>
    <mergeCell ref="D31:D33"/>
    <mergeCell ref="E31:E33"/>
    <mergeCell ref="F31:F33"/>
    <mergeCell ref="G31:G33"/>
    <mergeCell ref="H31:H33"/>
    <mergeCell ref="I31:I33"/>
    <mergeCell ref="J31:J33"/>
    <mergeCell ref="K31:K33"/>
    <mergeCell ref="L31:L33"/>
    <mergeCell ref="M31:M33"/>
    <mergeCell ref="C21:C23"/>
    <mergeCell ref="D21:D23"/>
    <mergeCell ref="E21:E23"/>
    <mergeCell ref="F21:F23"/>
    <mergeCell ref="G21:G23"/>
    <mergeCell ref="J26:J28"/>
    <mergeCell ref="K26:K28"/>
    <mergeCell ref="L26:L28"/>
    <mergeCell ref="M26:M28"/>
    <mergeCell ref="AE21:AE23"/>
    <mergeCell ref="AE26:AE28"/>
    <mergeCell ref="AE31:AE33"/>
    <mergeCell ref="AE36:AE38"/>
    <mergeCell ref="AE41:AE43"/>
    <mergeCell ref="A1:D5"/>
    <mergeCell ref="E1:AK1"/>
    <mergeCell ref="E2:AK2"/>
    <mergeCell ref="E3:AK3"/>
    <mergeCell ref="E4:M4"/>
    <mergeCell ref="E5:M5"/>
    <mergeCell ref="N4:X4"/>
    <mergeCell ref="N5:X5"/>
    <mergeCell ref="Y4:AG4"/>
    <mergeCell ref="Y5:AG5"/>
    <mergeCell ref="AH4:AK4"/>
    <mergeCell ref="AH5:AK5"/>
    <mergeCell ref="J21:J23"/>
    <mergeCell ref="K21:K23"/>
    <mergeCell ref="L21:L23"/>
    <mergeCell ref="M21:M23"/>
    <mergeCell ref="N21:N23"/>
    <mergeCell ref="A21:A23"/>
    <mergeCell ref="B21:B23"/>
  </mergeCells>
  <conditionalFormatting sqref="H16">
    <cfRule type="cellIs" dxfId="132" priority="181" operator="equal">
      <formula>"Baja"</formula>
    </cfRule>
    <cfRule type="cellIs" dxfId="131" priority="180" operator="equal">
      <formula>"Media"</formula>
    </cfRule>
    <cfRule type="cellIs" dxfId="130" priority="179" operator="equal">
      <formula>"Alta"</formula>
    </cfRule>
    <cfRule type="cellIs" dxfId="129" priority="178" operator="equal">
      <formula>"Muy Alta"</formula>
    </cfRule>
    <cfRule type="cellIs" dxfId="128" priority="182" operator="equal">
      <formula>"Muy Baja"</formula>
    </cfRule>
  </conditionalFormatting>
  <conditionalFormatting sqref="H19:H21">
    <cfRule type="cellIs" dxfId="127" priority="68" operator="equal">
      <formula>"Media"</formula>
    </cfRule>
    <cfRule type="cellIs" dxfId="126" priority="67" operator="equal">
      <formula>"Alta"</formula>
    </cfRule>
    <cfRule type="cellIs" dxfId="125" priority="66" operator="equal">
      <formula>"Muy Alta"</formula>
    </cfRule>
    <cfRule type="cellIs" dxfId="124" priority="70" operator="equal">
      <formula>"Muy Baja"</formula>
    </cfRule>
    <cfRule type="cellIs" dxfId="123" priority="69" operator="equal">
      <formula>"Baja"</formula>
    </cfRule>
  </conditionalFormatting>
  <conditionalFormatting sqref="H24:H26">
    <cfRule type="cellIs" dxfId="122" priority="65" operator="equal">
      <formula>"Muy Baja"</formula>
    </cfRule>
    <cfRule type="cellIs" dxfId="121" priority="61" operator="equal">
      <formula>"Muy Alta"</formula>
    </cfRule>
    <cfRule type="cellIs" dxfId="120" priority="63" operator="equal">
      <formula>"Media"</formula>
    </cfRule>
    <cfRule type="cellIs" dxfId="119" priority="64" operator="equal">
      <formula>"Baja"</formula>
    </cfRule>
    <cfRule type="cellIs" dxfId="118" priority="62" operator="equal">
      <formula>"Alta"</formula>
    </cfRule>
  </conditionalFormatting>
  <conditionalFormatting sqref="H29:H31">
    <cfRule type="cellIs" dxfId="117" priority="60" operator="equal">
      <formula>"Muy Baja"</formula>
    </cfRule>
    <cfRule type="cellIs" dxfId="116" priority="59" operator="equal">
      <formula>"Baja"</formula>
    </cfRule>
    <cfRule type="cellIs" dxfId="115" priority="58" operator="equal">
      <formula>"Media"</formula>
    </cfRule>
    <cfRule type="cellIs" dxfId="114" priority="57" operator="equal">
      <formula>"Alta"</formula>
    </cfRule>
    <cfRule type="cellIs" dxfId="113" priority="56" operator="equal">
      <formula>"Muy Alta"</formula>
    </cfRule>
  </conditionalFormatting>
  <conditionalFormatting sqref="H34:H36">
    <cfRule type="cellIs" dxfId="112" priority="51" operator="equal">
      <formula>"Muy Alta"</formula>
    </cfRule>
    <cfRule type="cellIs" dxfId="111" priority="55" operator="equal">
      <formula>"Muy Baja"</formula>
    </cfRule>
    <cfRule type="cellIs" dxfId="110" priority="54" operator="equal">
      <formula>"Baja"</formula>
    </cfRule>
    <cfRule type="cellIs" dxfId="109" priority="53" operator="equal">
      <formula>"Media"</formula>
    </cfRule>
    <cfRule type="cellIs" dxfId="108" priority="52" operator="equal">
      <formula>"Alta"</formula>
    </cfRule>
  </conditionalFormatting>
  <conditionalFormatting sqref="H39:H41">
    <cfRule type="cellIs" dxfId="107" priority="50" operator="equal">
      <formula>"Muy Baja"</formula>
    </cfRule>
    <cfRule type="cellIs" dxfId="106" priority="49" operator="equal">
      <formula>"Baja"</formula>
    </cfRule>
    <cfRule type="cellIs" dxfId="105" priority="48" operator="equal">
      <formula>"Media"</formula>
    </cfRule>
    <cfRule type="cellIs" dxfId="104" priority="46" operator="equal">
      <formula>"Muy Alta"</formula>
    </cfRule>
    <cfRule type="cellIs" dxfId="103" priority="47" operator="equal">
      <formula>"Alta"</formula>
    </cfRule>
  </conditionalFormatting>
  <conditionalFormatting sqref="H44:H45">
    <cfRule type="cellIs" dxfId="102" priority="189" operator="equal">
      <formula>"Muy Alta"</formula>
    </cfRule>
    <cfRule type="cellIs" dxfId="101" priority="190" operator="equal">
      <formula>"Alta"</formula>
    </cfRule>
    <cfRule type="cellIs" dxfId="100" priority="191" operator="equal">
      <formula>"Media"</formula>
    </cfRule>
    <cfRule type="cellIs" dxfId="99" priority="192" operator="equal">
      <formula>"Baja"</formula>
    </cfRule>
    <cfRule type="cellIs" dxfId="98" priority="193" operator="equal">
      <formula>"Muy Baja"</formula>
    </cfRule>
  </conditionalFormatting>
  <conditionalFormatting sqref="K16:K45">
    <cfRule type="containsText" dxfId="97" priority="183" operator="containsText" text="❌">
      <formula>NOT(ISERROR(SEARCH(("❌"),(K16))))</formula>
    </cfRule>
  </conditionalFormatting>
  <conditionalFormatting sqref="L16">
    <cfRule type="cellIs" dxfId="96" priority="149" operator="equal">
      <formula>"Mayor"</formula>
    </cfRule>
    <cfRule type="cellIs" dxfId="95" priority="148" operator="equal">
      <formula>"Catastrófico"</formula>
    </cfRule>
    <cfRule type="cellIs" dxfId="94" priority="152" operator="equal">
      <formula>"Leve"</formula>
    </cfRule>
    <cfRule type="cellIs" dxfId="93" priority="151" operator="equal">
      <formula>"Menor"</formula>
    </cfRule>
    <cfRule type="cellIs" dxfId="92" priority="150" operator="equal">
      <formula>"Moderado"</formula>
    </cfRule>
  </conditionalFormatting>
  <conditionalFormatting sqref="L19:L21">
    <cfRule type="cellIs" dxfId="91" priority="42" operator="equal">
      <formula>"Mayor"</formula>
    </cfRule>
    <cfRule type="cellIs" dxfId="90" priority="43" operator="equal">
      <formula>"Moderado"</formula>
    </cfRule>
    <cfRule type="cellIs" dxfId="89" priority="44" operator="equal">
      <formula>"Menor"</formula>
    </cfRule>
    <cfRule type="cellIs" dxfId="88" priority="45" operator="equal">
      <formula>"Leve"</formula>
    </cfRule>
    <cfRule type="cellIs" dxfId="87" priority="41" operator="equal">
      <formula>"Catastrófico"</formula>
    </cfRule>
  </conditionalFormatting>
  <conditionalFormatting sqref="L24:L26">
    <cfRule type="cellIs" dxfId="86" priority="37" operator="equal">
      <formula>"Mayor"</formula>
    </cfRule>
    <cfRule type="cellIs" dxfId="85" priority="36" operator="equal">
      <formula>"Catastrófico"</formula>
    </cfRule>
    <cfRule type="cellIs" dxfId="84" priority="38" operator="equal">
      <formula>"Moderado"</formula>
    </cfRule>
    <cfRule type="cellIs" dxfId="83" priority="39" operator="equal">
      <formula>"Menor"</formula>
    </cfRule>
    <cfRule type="cellIs" dxfId="82" priority="40" operator="equal">
      <formula>"Leve"</formula>
    </cfRule>
  </conditionalFormatting>
  <conditionalFormatting sqref="L29:L31">
    <cfRule type="cellIs" dxfId="81" priority="35" operator="equal">
      <formula>"Leve"</formula>
    </cfRule>
    <cfRule type="cellIs" dxfId="80" priority="34" operator="equal">
      <formula>"Menor"</formula>
    </cfRule>
    <cfRule type="cellIs" dxfId="79" priority="32" operator="equal">
      <formula>"Mayor"</formula>
    </cfRule>
    <cfRule type="cellIs" dxfId="78" priority="31" operator="equal">
      <formula>"Catastrófico"</formula>
    </cfRule>
    <cfRule type="cellIs" dxfId="77" priority="33" operator="equal">
      <formula>"Moderado"</formula>
    </cfRule>
  </conditionalFormatting>
  <conditionalFormatting sqref="L34:L36">
    <cfRule type="cellIs" dxfId="76" priority="29" operator="equal">
      <formula>"Menor"</formula>
    </cfRule>
    <cfRule type="cellIs" dxfId="75" priority="30" operator="equal">
      <formula>"Leve"</formula>
    </cfRule>
    <cfRule type="cellIs" dxfId="74" priority="28" operator="equal">
      <formula>"Moderado"</formula>
    </cfRule>
    <cfRule type="cellIs" dxfId="73" priority="27" operator="equal">
      <formula>"Mayor"</formula>
    </cfRule>
    <cfRule type="cellIs" dxfId="72" priority="26" operator="equal">
      <formula>"Catastrófico"</formula>
    </cfRule>
  </conditionalFormatting>
  <conditionalFormatting sqref="L39:L41">
    <cfRule type="cellIs" dxfId="71" priority="25" operator="equal">
      <formula>"Leve"</formula>
    </cfRule>
    <cfRule type="cellIs" dxfId="70" priority="24" operator="equal">
      <formula>"Menor"</formula>
    </cfRule>
    <cfRule type="cellIs" dxfId="69" priority="23" operator="equal">
      <formula>"Moderado"</formula>
    </cfRule>
    <cfRule type="cellIs" dxfId="68" priority="22" operator="equal">
      <formula>"Mayor"</formula>
    </cfRule>
    <cfRule type="cellIs" dxfId="67" priority="21" operator="equal">
      <formula>"Catastrófico"</formula>
    </cfRule>
  </conditionalFormatting>
  <conditionalFormatting sqref="L44:L45">
    <cfRule type="cellIs" dxfId="66" priority="194" operator="equal">
      <formula>"Catastrófico"</formula>
    </cfRule>
    <cfRule type="cellIs" dxfId="65" priority="195" operator="equal">
      <formula>"Mayor"</formula>
    </cfRule>
    <cfRule type="cellIs" dxfId="64" priority="196" operator="equal">
      <formula>"Moderado"</formula>
    </cfRule>
    <cfRule type="cellIs" dxfId="63" priority="197" operator="equal">
      <formula>"Menor"</formula>
    </cfRule>
    <cfRule type="cellIs" dxfId="62" priority="198" operator="equal">
      <formula>"Leve"</formula>
    </cfRule>
  </conditionalFormatting>
  <conditionalFormatting sqref="N16">
    <cfRule type="cellIs" dxfId="61" priority="122" operator="equal">
      <formula>"Bajo"</formula>
    </cfRule>
    <cfRule type="cellIs" dxfId="60" priority="120" operator="equal">
      <formula>"Alto"</formula>
    </cfRule>
    <cfRule type="cellIs" dxfId="59" priority="121" operator="equal">
      <formula>"Moderado"</formula>
    </cfRule>
    <cfRule type="cellIs" dxfId="58" priority="119" operator="equal">
      <formula>"Extremo"</formula>
    </cfRule>
  </conditionalFormatting>
  <conditionalFormatting sqref="N19:N21">
    <cfRule type="cellIs" dxfId="57" priority="18" operator="equal">
      <formula>"Alto"</formula>
    </cfRule>
    <cfRule type="cellIs" dxfId="56" priority="19" operator="equal">
      <formula>"Moderado"</formula>
    </cfRule>
    <cfRule type="cellIs" dxfId="55" priority="20" operator="equal">
      <formula>"Bajo"</formula>
    </cfRule>
    <cfRule type="cellIs" dxfId="54" priority="17" operator="equal">
      <formula>"Extremo"</formula>
    </cfRule>
  </conditionalFormatting>
  <conditionalFormatting sqref="N24:N26">
    <cfRule type="cellIs" dxfId="53" priority="13" operator="equal">
      <formula>"Extremo"</formula>
    </cfRule>
    <cfRule type="cellIs" dxfId="52" priority="14" operator="equal">
      <formula>"Alto"</formula>
    </cfRule>
    <cfRule type="cellIs" dxfId="51" priority="16" operator="equal">
      <formula>"Bajo"</formula>
    </cfRule>
    <cfRule type="cellIs" dxfId="50" priority="15" operator="equal">
      <formula>"Moderado"</formula>
    </cfRule>
  </conditionalFormatting>
  <conditionalFormatting sqref="N29:N31">
    <cfRule type="cellIs" dxfId="49" priority="12" operator="equal">
      <formula>"Bajo"</formula>
    </cfRule>
    <cfRule type="cellIs" dxfId="48" priority="11" operator="equal">
      <formula>"Moderado"</formula>
    </cfRule>
    <cfRule type="cellIs" dxfId="47" priority="10" operator="equal">
      <formula>"Alto"</formula>
    </cfRule>
    <cfRule type="cellIs" dxfId="46" priority="9" operator="equal">
      <formula>"Extremo"</formula>
    </cfRule>
  </conditionalFormatting>
  <conditionalFormatting sqref="N34:N36">
    <cfRule type="cellIs" dxfId="45" priority="7" operator="equal">
      <formula>"Moderado"</formula>
    </cfRule>
    <cfRule type="cellIs" dxfId="44" priority="8" operator="equal">
      <formula>"Bajo"</formula>
    </cfRule>
    <cfRule type="cellIs" dxfId="43" priority="6" operator="equal">
      <formula>"Alto"</formula>
    </cfRule>
    <cfRule type="cellIs" dxfId="42" priority="5" operator="equal">
      <formula>"Extremo"</formula>
    </cfRule>
  </conditionalFormatting>
  <conditionalFormatting sqref="N39:N41">
    <cfRule type="cellIs" dxfId="41" priority="4" operator="equal">
      <formula>"Bajo"</formula>
    </cfRule>
    <cfRule type="cellIs" dxfId="40" priority="3" operator="equal">
      <formula>"Moderado"</formula>
    </cfRule>
    <cfRule type="cellIs" dxfId="39" priority="2" operator="equal">
      <formula>"Alto"</formula>
    </cfRule>
    <cfRule type="cellIs" dxfId="38" priority="1" operator="equal">
      <formula>"Extremo"</formula>
    </cfRule>
  </conditionalFormatting>
  <conditionalFormatting sqref="N44:N45">
    <cfRule type="cellIs" dxfId="37" priority="202" operator="equal">
      <formula>"Bajo"</formula>
    </cfRule>
    <cfRule type="cellIs" dxfId="36" priority="201" operator="equal">
      <formula>"Moderado"</formula>
    </cfRule>
    <cfRule type="cellIs" dxfId="35" priority="200" operator="equal">
      <formula>"Alto"</formula>
    </cfRule>
    <cfRule type="cellIs" dxfId="34" priority="199" operator="equal">
      <formula>"Extremo"</formula>
    </cfRule>
  </conditionalFormatting>
  <conditionalFormatting sqref="Y16:Y45">
    <cfRule type="cellIs" dxfId="33" priority="90" operator="equal">
      <formula>"Alta"</formula>
    </cfRule>
    <cfRule type="cellIs" dxfId="32" priority="91" operator="equal">
      <formula>"Media"</formula>
    </cfRule>
    <cfRule type="cellIs" dxfId="31" priority="92" operator="equal">
      <formula>"Baja"</formula>
    </cfRule>
    <cfRule type="cellIs" dxfId="30" priority="93" operator="equal">
      <formula>"Muy Baja"</formula>
    </cfRule>
    <cfRule type="cellIs" dxfId="29" priority="89" operator="equal">
      <formula>"Muy Alta"</formula>
    </cfRule>
  </conditionalFormatting>
  <conditionalFormatting sqref="AA16:AA45">
    <cfRule type="cellIs" dxfId="28" priority="79" operator="equal">
      <formula>"Catastrófico"</formula>
    </cfRule>
    <cfRule type="cellIs" dxfId="27" priority="80" operator="equal">
      <formula>"Mayor"</formula>
    </cfRule>
    <cfRule type="cellIs" dxfId="26" priority="81" operator="equal">
      <formula>"Moderado"</formula>
    </cfRule>
    <cfRule type="cellIs" dxfId="25" priority="82" operator="equal">
      <formula>"Menor"</formula>
    </cfRule>
    <cfRule type="cellIs" dxfId="24" priority="83" operator="equal">
      <formula>"Leve"</formula>
    </cfRule>
  </conditionalFormatting>
  <conditionalFormatting sqref="AC16:AC45">
    <cfRule type="cellIs" dxfId="23" priority="74" operator="equal">
      <formula>"Bajo"</formula>
    </cfRule>
    <cfRule type="cellIs" dxfId="22" priority="73" operator="equal">
      <formula>"Moderado"</formula>
    </cfRule>
    <cfRule type="cellIs" dxfId="21" priority="72" operator="equal">
      <formula>"Alto"</formula>
    </cfRule>
    <cfRule type="cellIs" dxfId="20" priority="71" operator="equal">
      <formula>"Extremo"</formula>
    </cfRule>
  </conditionalFormatting>
  <conditionalFormatting sqref="AD10:AD11 AD13:AD14 AD16:AD17 AD21:AD22">
    <cfRule type="cellIs" dxfId="19" priority="414" operator="equal">
      <formula>"Bajo"</formula>
    </cfRule>
    <cfRule type="cellIs" dxfId="18" priority="411" operator="equal">
      <formula>"Extremo"</formula>
    </cfRule>
    <cfRule type="cellIs" dxfId="17" priority="412" operator="equal">
      <formula>"Alto"</formula>
    </cfRule>
    <cfRule type="cellIs" dxfId="16" priority="413" operator="equal">
      <formula>"Moderado"</formula>
    </cfRule>
  </conditionalFormatting>
  <conditionalFormatting sqref="AD26:AD27">
    <cfRule type="cellIs" dxfId="15" priority="360" operator="equal">
      <formula>"Alto"</formula>
    </cfRule>
    <cfRule type="cellIs" dxfId="14" priority="359" operator="equal">
      <formula>"Extremo"</formula>
    </cfRule>
    <cfRule type="cellIs" dxfId="13" priority="361" operator="equal">
      <formula>"Moderado"</formula>
    </cfRule>
    <cfRule type="cellIs" dxfId="12" priority="362" operator="equal">
      <formula>"Bajo"</formula>
    </cfRule>
  </conditionalFormatting>
  <conditionalFormatting sqref="AD31:AD32">
    <cfRule type="cellIs" dxfId="11" priority="347" operator="equal">
      <formula>"Extremo"</formula>
    </cfRule>
    <cfRule type="cellIs" dxfId="10" priority="348" operator="equal">
      <formula>"Alto"</formula>
    </cfRule>
    <cfRule type="cellIs" dxfId="9" priority="349" operator="equal">
      <formula>"Moderado"</formula>
    </cfRule>
    <cfRule type="cellIs" dxfId="8" priority="350" operator="equal">
      <formula>"Bajo"</formula>
    </cfRule>
  </conditionalFormatting>
  <conditionalFormatting sqref="AD36:AD37">
    <cfRule type="cellIs" dxfId="7" priority="355" operator="equal">
      <formula>"Extremo"</formula>
    </cfRule>
    <cfRule type="cellIs" dxfId="6" priority="356" operator="equal">
      <formula>"Alto"</formula>
    </cfRule>
    <cfRule type="cellIs" dxfId="5" priority="357" operator="equal">
      <formula>"Moderado"</formula>
    </cfRule>
    <cfRule type="cellIs" dxfId="4" priority="358" operator="equal">
      <formula>"Bajo"</formula>
    </cfRule>
  </conditionalFormatting>
  <conditionalFormatting sqref="AD41:AD42">
    <cfRule type="cellIs" dxfId="3" priority="351" operator="equal">
      <formula>"Extremo"</formula>
    </cfRule>
    <cfRule type="cellIs" dxfId="2" priority="352" operator="equal">
      <formula>"Alto"</formula>
    </cfRule>
    <cfRule type="cellIs" dxfId="1" priority="353" operator="equal">
      <formula>"Moderado"</formula>
    </cfRule>
    <cfRule type="cellIs" dxfId="0" priority="354" operator="equal">
      <formula>"Bajo"</formula>
    </cfRule>
  </conditionalFormatting>
  <dataValidations xWindow="881" yWindow="730" count="4">
    <dataValidation allowBlank="1" showInputMessage="1" showErrorMessage="1" promptTitle="NOMBRE DEL PROCESO/SUBPROCESO" prompt="Debe colocar el nombre del proceso/subproceso, de acuerdo al modelo de operación por procesos de la Administración Municipal de Pasto (Mapa de Procesos)" sqref="C10:N10" xr:uid="{3A230BE5-98CD-449B-B443-66E30C3A37AB}"/>
    <dataValidation allowBlank="1" showInputMessage="1" showErrorMessage="1" promptTitle="OBJETIVO DEL PROCESO/SUBPROCESO" prompt="Debe colocar el objetivo del proceso/subproceso de acuerdo a la caracterización del proceso" sqref="C11:N11" xr:uid="{AA5EAAD1-B392-4427-A738-C1B025979AEF}"/>
    <dataValidation allowBlank="1" showInputMessage="1" showErrorMessage="1" promptTitle="ALCANCE DEL PROCESO/SUBPROCESO" prompt="Debe colocar el alcance del proceso/subproceso, de acuerdo a la caracterización del mismo Incluyendo LIMITE y APLICABILIDAD" sqref="C12:N12" xr:uid="{7F6F40CA-0BAF-47C0-A29C-A6EED92B486D}"/>
    <dataValidation allowBlank="1" showInputMessage="1" showErrorMessage="1" promptTitle="Descripción de controles" prompt="Debe existir un control por cada causa._x000a__x000a_Debe tener_x000a_Responsable de ejecutar el control_x000a_Como que ejecuta el control_x000a_Tiempo que ejecuta el control_x000a_Evidencias de la ejecución del control" sqref="P16:P20 P22:P44" xr:uid="{CA6D7211-932B-4073-8F45-FD3AFADCE769}"/>
  </dataValidations>
  <pageMargins left="0.7" right="0.7" top="0.75" bottom="0.75" header="0" footer="0"/>
  <pageSetup orientation="portrait" r:id="rId1"/>
  <ignoredErrors>
    <ignoredError sqref="N5" numberStoredAsText="1"/>
  </ignoredErrors>
  <drawing r:id="rId2"/>
  <extLst>
    <ext xmlns:x14="http://schemas.microsoft.com/office/spreadsheetml/2009/9/main" uri="{CCE6A557-97BC-4b89-ADB6-D9C93CAAB3DF}">
      <x14:dataValidations xmlns:xm="http://schemas.microsoft.com/office/excel/2006/main" xWindow="881" yWindow="730" count="10">
        <x14:dataValidation type="list" allowBlank="1" showErrorMessage="1" xr:uid="{00000000-0002-0000-0000-000004000000}">
          <x14:formula1>
            <xm:f>'Opciones Tratamiento'!$E$2:$E$4</xm:f>
          </x14:formula1>
          <xm:sqref>B19:B21 B16 B44:B45 B24:B26 B29:B31 B34:B36 B39:B41</xm:sqref>
        </x14:dataValidation>
        <x14:dataValidation type="list" allowBlank="1" showErrorMessage="1" xr:uid="{00000000-0002-0000-0000-000005000000}">
          <x14:formula1>
            <xm:f>'Tabla Impacto'!$F$210:$F$221</xm:f>
          </x14:formula1>
          <xm:sqref>J44:J45 J16 J19:J21 J24:J26 J29:J31 J34:J36 J39:J41</xm:sqref>
        </x14:dataValidation>
        <x14:dataValidation type="list" allowBlank="1" showErrorMessage="1" xr:uid="{00000000-0002-0000-0000-000009000000}">
          <x14:formula1>
            <xm:f>'Opciones Tratamiento'!$B$9:$B$10</xm:f>
          </x14:formula1>
          <xm:sqref>AK16:AK45</xm:sqref>
        </x14:dataValidation>
        <x14:dataValidation type="list" allowBlank="1" showErrorMessage="1" xr:uid="{00000000-0002-0000-0000-00000A000000}">
          <x14:formula1>
            <xm:f>'Opciones Tratamiento'!$B$13:$B$19</xm:f>
          </x14:formula1>
          <xm:sqref>F19:F21 F16 F44:F45 F24:F26 F29:F31 F34:F36 F39:F41</xm:sqref>
        </x14:dataValidation>
        <x14:dataValidation type="list" allowBlank="1" showErrorMessage="1" xr:uid="{00000000-0002-0000-0000-00000B000000}">
          <x14:formula1>
            <xm:f>'Tabla Valoración controles'!$D$9:$D$10</xm:f>
          </x14:formula1>
          <xm:sqref>U16:U45</xm:sqref>
        </x14:dataValidation>
        <x14:dataValidation type="list" allowBlank="1" showErrorMessage="1" xr:uid="{00000000-0002-0000-0000-00000C000000}">
          <x14:formula1>
            <xm:f>'Tabla Valoración controles'!$D$11:$D$12</xm:f>
          </x14:formula1>
          <xm:sqref>V16:V45</xm:sqref>
        </x14:dataValidation>
        <x14:dataValidation type="list" allowBlank="1" showErrorMessage="1" xr:uid="{00000000-0002-0000-0000-00000D000000}">
          <x14:formula1>
            <xm:f>'Tabla Valoración controles'!$D$13:$D$14</xm:f>
          </x14:formula1>
          <xm:sqref>W16:W45</xm:sqref>
        </x14:dataValidation>
        <x14:dataValidation type="list" allowBlank="1" showErrorMessage="1" xr:uid="{00000000-0002-0000-0000-00000E000000}">
          <x14:formula1>
            <xm:f>'Tabla Valoración controles'!$D$7:$D$8</xm:f>
          </x14:formula1>
          <xm:sqref>S16:S45</xm:sqref>
        </x14:dataValidation>
        <x14:dataValidation type="list" allowBlank="1" showErrorMessage="1" xr:uid="{00000000-0002-0000-0000-00000F000000}">
          <x14:formula1>
            <xm:f>'Tabla Valoración controles'!$D$4:$D$6</xm:f>
          </x14:formula1>
          <xm:sqref>R16:R45</xm:sqref>
        </x14:dataValidation>
        <x14:dataValidation type="list" allowBlank="1" showErrorMessage="1" xr:uid="{00000000-0002-0000-0000-000010000000}">
          <x14:formula1>
            <xm:f>'Opciones Tratamiento'!$B$2:$B$5</xm:f>
          </x14:formula1>
          <xm:sqref>AE16 AE19:AE21 AE24:AE26 AE29:AE31 AE34:AE36 AE39:AE41 AE44:AE45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heetViews>
  <sheetFormatPr baseColWidth="10" defaultColWidth="12.625" defaultRowHeight="15" customHeight="1" x14ac:dyDescent="0.2"/>
  <cols>
    <col min="1" max="1" width="28.75" customWidth="1"/>
    <col min="2" max="26" width="10" customWidth="1"/>
  </cols>
  <sheetData>
    <row r="3" spans="1:1" ht="12.75" customHeight="1" x14ac:dyDescent="0.2">
      <c r="A3" s="97" t="s">
        <v>167</v>
      </c>
    </row>
    <row r="4" spans="1:1" ht="12.75" customHeight="1" x14ac:dyDescent="0.2">
      <c r="A4" s="97" t="s">
        <v>169</v>
      </c>
    </row>
    <row r="5" spans="1:1" ht="12.75" customHeight="1" x14ac:dyDescent="0.2">
      <c r="A5" s="97" t="s">
        <v>171</v>
      </c>
    </row>
    <row r="6" spans="1:1" ht="12.75" customHeight="1" x14ac:dyDescent="0.2">
      <c r="A6" s="97" t="s">
        <v>173</v>
      </c>
    </row>
    <row r="7" spans="1:1" ht="12.75" customHeight="1" x14ac:dyDescent="0.2">
      <c r="A7" s="97" t="s">
        <v>175</v>
      </c>
    </row>
    <row r="8" spans="1:1" ht="12.75" customHeight="1" x14ac:dyDescent="0.2">
      <c r="A8" s="97" t="s">
        <v>178</v>
      </c>
    </row>
    <row r="9" spans="1:1" ht="12.75" customHeight="1" x14ac:dyDescent="0.2">
      <c r="A9" s="97" t="s">
        <v>181</v>
      </c>
    </row>
    <row r="10" spans="1:1" ht="12.75" customHeight="1" x14ac:dyDescent="0.2">
      <c r="A10" s="97" t="s">
        <v>183</v>
      </c>
    </row>
    <row r="11" spans="1:1" ht="12.75" customHeight="1" x14ac:dyDescent="0.2">
      <c r="A11" s="97" t="s">
        <v>185</v>
      </c>
    </row>
    <row r="12" spans="1:1" ht="12.75" customHeight="1" x14ac:dyDescent="0.2">
      <c r="A12" s="97" t="s">
        <v>209</v>
      </c>
    </row>
    <row r="13" spans="1:1" ht="12.75" customHeight="1" x14ac:dyDescent="0.2">
      <c r="A13" s="97" t="s">
        <v>210</v>
      </c>
    </row>
    <row r="14" spans="1:1" ht="12.75" customHeight="1" x14ac:dyDescent="0.2">
      <c r="A14" s="97" t="s">
        <v>211</v>
      </c>
    </row>
    <row r="15" spans="1:1" ht="12.75" customHeight="1" x14ac:dyDescent="0.2">
      <c r="A15" s="96"/>
    </row>
    <row r="16" spans="1:1" ht="12.75" customHeight="1" x14ac:dyDescent="0.2">
      <c r="A16" s="97" t="s">
        <v>212</v>
      </c>
    </row>
    <row r="17" spans="1:1" ht="12.75" customHeight="1" x14ac:dyDescent="0.2">
      <c r="A17" s="97" t="s">
        <v>192</v>
      </c>
    </row>
    <row r="18" spans="1:1" ht="12.75" customHeight="1" x14ac:dyDescent="0.2">
      <c r="A18" s="97" t="s">
        <v>194</v>
      </c>
    </row>
    <row r="19" spans="1:1" ht="12.75" customHeight="1" x14ac:dyDescent="0.2">
      <c r="A19" s="96"/>
    </row>
    <row r="20" spans="1:1" ht="12.75" customHeight="1" x14ac:dyDescent="0.2">
      <c r="A20" s="97" t="s">
        <v>200</v>
      </c>
    </row>
    <row r="21" spans="1:1" ht="12.75" customHeight="1" x14ac:dyDescent="0.2">
      <c r="A21" s="97" t="s">
        <v>201</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4"/>
  <sheetViews>
    <sheetView topLeftCell="A28" workbookViewId="0">
      <selection activeCell="E36" sqref="E36:F36"/>
    </sheetView>
  </sheetViews>
  <sheetFormatPr baseColWidth="10" defaultColWidth="12.625" defaultRowHeight="15" customHeight="1" x14ac:dyDescent="0.2"/>
  <cols>
    <col min="1" max="1" width="2.5" customWidth="1"/>
    <col min="2" max="3" width="21.625" customWidth="1"/>
    <col min="4" max="4" width="14" customWidth="1"/>
    <col min="5" max="5" width="21.625" customWidth="1"/>
    <col min="6" max="6" width="24.25" customWidth="1"/>
    <col min="7" max="8" width="21.625" customWidth="1"/>
    <col min="9" max="26" width="10" customWidth="1"/>
  </cols>
  <sheetData>
    <row r="2" spans="2:8" ht="14.25" x14ac:dyDescent="0.2">
      <c r="B2" s="207" t="s">
        <v>0</v>
      </c>
      <c r="C2" s="208"/>
      <c r="D2" s="208"/>
      <c r="E2" s="208"/>
      <c r="F2" s="208"/>
      <c r="G2" s="208"/>
      <c r="H2" s="209"/>
    </row>
    <row r="3" spans="2:8" ht="14.25" x14ac:dyDescent="0.2">
      <c r="B3" s="2"/>
      <c r="C3" s="3"/>
      <c r="D3" s="3"/>
      <c r="E3" s="3"/>
      <c r="F3" s="3"/>
      <c r="G3" s="3"/>
      <c r="H3" s="4"/>
    </row>
    <row r="4" spans="2:8" ht="63" customHeight="1" x14ac:dyDescent="0.2">
      <c r="B4" s="210" t="s">
        <v>1</v>
      </c>
      <c r="C4" s="211"/>
      <c r="D4" s="211"/>
      <c r="E4" s="211"/>
      <c r="F4" s="211"/>
      <c r="G4" s="211"/>
      <c r="H4" s="212"/>
    </row>
    <row r="5" spans="2:8" ht="63" customHeight="1" x14ac:dyDescent="0.2">
      <c r="B5" s="213"/>
      <c r="C5" s="214"/>
      <c r="D5" s="214"/>
      <c r="E5" s="214"/>
      <c r="F5" s="214"/>
      <c r="G5" s="214"/>
      <c r="H5" s="215"/>
    </row>
    <row r="6" spans="2:8" ht="14.25" x14ac:dyDescent="0.2">
      <c r="B6" s="216" t="s">
        <v>2</v>
      </c>
      <c r="C6" s="217"/>
      <c r="D6" s="217"/>
      <c r="E6" s="217"/>
      <c r="F6" s="217"/>
      <c r="G6" s="217"/>
      <c r="H6" s="218"/>
    </row>
    <row r="7" spans="2:8" ht="95.25" customHeight="1" x14ac:dyDescent="0.2">
      <c r="B7" s="219" t="s">
        <v>3</v>
      </c>
      <c r="C7" s="220"/>
      <c r="D7" s="220"/>
      <c r="E7" s="220"/>
      <c r="F7" s="220"/>
      <c r="G7" s="220"/>
      <c r="H7" s="221"/>
    </row>
    <row r="8" spans="2:8" ht="16.5" x14ac:dyDescent="0.2">
      <c r="B8" s="5"/>
      <c r="C8" s="6"/>
      <c r="D8" s="6"/>
      <c r="E8" s="6"/>
      <c r="F8" s="6"/>
      <c r="G8" s="6"/>
      <c r="H8" s="7"/>
    </row>
    <row r="9" spans="2:8" ht="16.5" customHeight="1" x14ac:dyDescent="0.2">
      <c r="B9" s="222" t="s">
        <v>4</v>
      </c>
      <c r="C9" s="211"/>
      <c r="D9" s="211"/>
      <c r="E9" s="211"/>
      <c r="F9" s="211"/>
      <c r="G9" s="211"/>
      <c r="H9" s="212"/>
    </row>
    <row r="10" spans="2:8" ht="44.25" customHeight="1" x14ac:dyDescent="0.2">
      <c r="B10" s="223"/>
      <c r="C10" s="211"/>
      <c r="D10" s="211"/>
      <c r="E10" s="211"/>
      <c r="F10" s="211"/>
      <c r="G10" s="211"/>
      <c r="H10" s="212"/>
    </row>
    <row r="11" spans="2:8" ht="14.25" x14ac:dyDescent="0.2">
      <c r="B11" s="8"/>
      <c r="C11" s="9"/>
      <c r="D11" s="10"/>
      <c r="E11" s="11"/>
      <c r="F11" s="11"/>
      <c r="G11" s="11"/>
      <c r="H11" s="12"/>
    </row>
    <row r="12" spans="2:8" ht="14.25" x14ac:dyDescent="0.2">
      <c r="B12" s="8"/>
      <c r="C12" s="224" t="s">
        <v>5</v>
      </c>
      <c r="D12" s="225"/>
      <c r="E12" s="226" t="s">
        <v>6</v>
      </c>
      <c r="F12" s="227"/>
      <c r="G12" s="9"/>
      <c r="H12" s="12"/>
    </row>
    <row r="13" spans="2:8" ht="35.25" customHeight="1" x14ac:dyDescent="0.2">
      <c r="B13" s="8"/>
      <c r="C13" s="228" t="s">
        <v>7</v>
      </c>
      <c r="D13" s="229"/>
      <c r="E13" s="230" t="s">
        <v>8</v>
      </c>
      <c r="F13" s="231"/>
      <c r="G13" s="9"/>
      <c r="H13" s="12"/>
    </row>
    <row r="14" spans="2:8" ht="17.25" customHeight="1" x14ac:dyDescent="0.2">
      <c r="B14" s="8"/>
      <c r="C14" s="228" t="s">
        <v>9</v>
      </c>
      <c r="D14" s="229"/>
      <c r="E14" s="230" t="s">
        <v>10</v>
      </c>
      <c r="F14" s="231"/>
      <c r="G14" s="9"/>
      <c r="H14" s="12"/>
    </row>
    <row r="15" spans="2:8" ht="19.5" customHeight="1" x14ac:dyDescent="0.2">
      <c r="B15" s="8"/>
      <c r="C15" s="228" t="s">
        <v>11</v>
      </c>
      <c r="D15" s="229"/>
      <c r="E15" s="230" t="s">
        <v>12</v>
      </c>
      <c r="F15" s="231"/>
      <c r="G15" s="9"/>
      <c r="H15" s="12"/>
    </row>
    <row r="16" spans="2:8" ht="69.75" customHeight="1" x14ac:dyDescent="0.2">
      <c r="B16" s="8"/>
      <c r="C16" s="228" t="s">
        <v>13</v>
      </c>
      <c r="D16" s="229"/>
      <c r="E16" s="230" t="s">
        <v>14</v>
      </c>
      <c r="F16" s="231"/>
      <c r="G16" s="9"/>
      <c r="H16" s="12"/>
    </row>
    <row r="17" spans="3:6" ht="34.5" customHeight="1" x14ac:dyDescent="0.2">
      <c r="C17" s="232" t="s">
        <v>15</v>
      </c>
      <c r="D17" s="233"/>
      <c r="E17" s="234" t="s">
        <v>16</v>
      </c>
      <c r="F17" s="235"/>
    </row>
    <row r="18" spans="3:6" ht="27.75" customHeight="1" x14ac:dyDescent="0.2">
      <c r="C18" s="232" t="s">
        <v>17</v>
      </c>
      <c r="D18" s="233"/>
      <c r="E18" s="234" t="s">
        <v>18</v>
      </c>
      <c r="F18" s="235"/>
    </row>
    <row r="19" spans="3:6" ht="28.5" customHeight="1" x14ac:dyDescent="0.2">
      <c r="C19" s="232" t="s">
        <v>19</v>
      </c>
      <c r="D19" s="233"/>
      <c r="E19" s="234" t="s">
        <v>20</v>
      </c>
      <c r="F19" s="235"/>
    </row>
    <row r="20" spans="3:6" ht="72.75" customHeight="1" x14ac:dyDescent="0.2">
      <c r="C20" s="232" t="s">
        <v>21</v>
      </c>
      <c r="D20" s="233"/>
      <c r="E20" s="234" t="s">
        <v>22</v>
      </c>
      <c r="F20" s="235"/>
    </row>
    <row r="21" spans="3:6" ht="64.5" customHeight="1" x14ac:dyDescent="0.2">
      <c r="C21" s="232" t="s">
        <v>23</v>
      </c>
      <c r="D21" s="233"/>
      <c r="E21" s="234" t="s">
        <v>24</v>
      </c>
      <c r="F21" s="235"/>
    </row>
    <row r="22" spans="3:6" ht="71.25" customHeight="1" x14ac:dyDescent="0.2">
      <c r="C22" s="232" t="s">
        <v>25</v>
      </c>
      <c r="D22" s="233"/>
      <c r="E22" s="234" t="s">
        <v>26</v>
      </c>
      <c r="F22" s="235"/>
    </row>
    <row r="23" spans="3:6" ht="55.5" customHeight="1" x14ac:dyDescent="0.2">
      <c r="C23" s="232" t="s">
        <v>27</v>
      </c>
      <c r="D23" s="233"/>
      <c r="E23" s="234" t="s">
        <v>28</v>
      </c>
      <c r="F23" s="235"/>
    </row>
    <row r="24" spans="3:6" ht="42" customHeight="1" x14ac:dyDescent="0.2">
      <c r="C24" s="232" t="s">
        <v>29</v>
      </c>
      <c r="D24" s="233"/>
      <c r="E24" s="234" t="s">
        <v>30</v>
      </c>
      <c r="F24" s="235"/>
    </row>
    <row r="25" spans="3:6" ht="59.25" customHeight="1" x14ac:dyDescent="0.2">
      <c r="C25" s="232" t="s">
        <v>31</v>
      </c>
      <c r="D25" s="233"/>
      <c r="E25" s="234" t="s">
        <v>32</v>
      </c>
      <c r="F25" s="235"/>
    </row>
    <row r="26" spans="3:6" ht="23.25" customHeight="1" x14ac:dyDescent="0.2">
      <c r="C26" s="232" t="s">
        <v>33</v>
      </c>
      <c r="D26" s="233"/>
      <c r="E26" s="234" t="s">
        <v>34</v>
      </c>
      <c r="F26" s="235"/>
    </row>
    <row r="27" spans="3:6" ht="30.75" customHeight="1" x14ac:dyDescent="0.2">
      <c r="C27" s="232" t="s">
        <v>35</v>
      </c>
      <c r="D27" s="233"/>
      <c r="E27" s="234" t="s">
        <v>36</v>
      </c>
      <c r="F27" s="235"/>
    </row>
    <row r="28" spans="3:6" ht="35.25" customHeight="1" x14ac:dyDescent="0.2">
      <c r="C28" s="232" t="s">
        <v>37</v>
      </c>
      <c r="D28" s="233"/>
      <c r="E28" s="234" t="s">
        <v>38</v>
      </c>
      <c r="F28" s="235"/>
    </row>
    <row r="29" spans="3:6" ht="33" customHeight="1" x14ac:dyDescent="0.2">
      <c r="C29" s="232" t="s">
        <v>39</v>
      </c>
      <c r="D29" s="233"/>
      <c r="E29" s="234" t="s">
        <v>38</v>
      </c>
      <c r="F29" s="235"/>
    </row>
    <row r="30" spans="3:6" ht="30" customHeight="1" x14ac:dyDescent="0.2">
      <c r="C30" s="232" t="s">
        <v>40</v>
      </c>
      <c r="D30" s="233"/>
      <c r="E30" s="234" t="s">
        <v>41</v>
      </c>
      <c r="F30" s="235"/>
    </row>
    <row r="31" spans="3:6" ht="35.25" customHeight="1" x14ac:dyDescent="0.2">
      <c r="C31" s="232" t="s">
        <v>42</v>
      </c>
      <c r="D31" s="233"/>
      <c r="E31" s="234" t="s">
        <v>43</v>
      </c>
      <c r="F31" s="235"/>
    </row>
    <row r="32" spans="3:6" ht="31.5" customHeight="1" x14ac:dyDescent="0.2">
      <c r="C32" s="232" t="s">
        <v>44</v>
      </c>
      <c r="D32" s="233"/>
      <c r="E32" s="234" t="s">
        <v>45</v>
      </c>
      <c r="F32" s="235"/>
    </row>
    <row r="33" spans="2:8" ht="35.25" customHeight="1" x14ac:dyDescent="0.2">
      <c r="B33" s="8"/>
      <c r="C33" s="232" t="s">
        <v>46</v>
      </c>
      <c r="D33" s="233"/>
      <c r="E33" s="234" t="s">
        <v>47</v>
      </c>
      <c r="F33" s="235"/>
      <c r="G33" s="9"/>
      <c r="H33" s="12"/>
    </row>
    <row r="34" spans="2:8" ht="59.25" customHeight="1" x14ac:dyDescent="0.2">
      <c r="B34" s="8"/>
      <c r="C34" s="232" t="s">
        <v>48</v>
      </c>
      <c r="D34" s="233"/>
      <c r="E34" s="234" t="s">
        <v>49</v>
      </c>
      <c r="F34" s="235"/>
      <c r="G34" s="9"/>
      <c r="H34" s="12"/>
    </row>
    <row r="35" spans="2:8" ht="29.25" customHeight="1" x14ac:dyDescent="0.2">
      <c r="B35" s="8"/>
      <c r="C35" s="232" t="s">
        <v>50</v>
      </c>
      <c r="D35" s="233"/>
      <c r="E35" s="234" t="s">
        <v>51</v>
      </c>
      <c r="F35" s="235"/>
      <c r="G35" s="9"/>
      <c r="H35" s="12"/>
    </row>
    <row r="36" spans="2:8" ht="82.5" customHeight="1" x14ac:dyDescent="0.2">
      <c r="B36" s="8"/>
      <c r="C36" s="232" t="s">
        <v>52</v>
      </c>
      <c r="D36" s="233"/>
      <c r="E36" s="234" t="s">
        <v>53</v>
      </c>
      <c r="F36" s="235"/>
      <c r="G36" s="9"/>
      <c r="H36" s="12"/>
    </row>
    <row r="37" spans="2:8" ht="46.5" customHeight="1" x14ac:dyDescent="0.2">
      <c r="B37" s="8"/>
      <c r="C37" s="232" t="s">
        <v>54</v>
      </c>
      <c r="D37" s="233"/>
      <c r="E37" s="234" t="s">
        <v>55</v>
      </c>
      <c r="F37" s="235"/>
      <c r="G37" s="9"/>
      <c r="H37" s="12"/>
    </row>
    <row r="38" spans="2:8" ht="6.75" customHeight="1" x14ac:dyDescent="0.2">
      <c r="B38" s="8"/>
      <c r="C38" s="241"/>
      <c r="D38" s="242"/>
      <c r="E38" s="236"/>
      <c r="F38" s="237"/>
      <c r="G38" s="9"/>
      <c r="H38" s="12"/>
    </row>
    <row r="39" spans="2:8" ht="15.75" customHeight="1" x14ac:dyDescent="0.2">
      <c r="B39" s="8"/>
      <c r="C39" s="13"/>
      <c r="D39" s="13"/>
      <c r="E39" s="14"/>
      <c r="F39" s="14"/>
      <c r="G39" s="9"/>
      <c r="H39" s="12"/>
    </row>
    <row r="40" spans="2:8" ht="21" customHeight="1" x14ac:dyDescent="0.2">
      <c r="B40" s="238" t="s">
        <v>56</v>
      </c>
      <c r="C40" s="239"/>
      <c r="D40" s="239"/>
      <c r="E40" s="239"/>
      <c r="F40" s="239"/>
      <c r="G40" s="239"/>
      <c r="H40" s="240"/>
    </row>
    <row r="41" spans="2:8" ht="20.25" customHeight="1" x14ac:dyDescent="0.2">
      <c r="B41" s="238" t="s">
        <v>57</v>
      </c>
      <c r="C41" s="239"/>
      <c r="D41" s="239"/>
      <c r="E41" s="239"/>
      <c r="F41" s="239"/>
      <c r="G41" s="239"/>
      <c r="H41" s="240"/>
    </row>
    <row r="42" spans="2:8" ht="20.25" customHeight="1" x14ac:dyDescent="0.2">
      <c r="B42" s="238" t="s">
        <v>58</v>
      </c>
      <c r="C42" s="239"/>
      <c r="D42" s="239"/>
      <c r="E42" s="239"/>
      <c r="F42" s="239"/>
      <c r="G42" s="239"/>
      <c r="H42" s="240"/>
    </row>
    <row r="43" spans="2:8" ht="20.25" customHeight="1" x14ac:dyDescent="0.2">
      <c r="B43" s="238" t="s">
        <v>59</v>
      </c>
      <c r="C43" s="239"/>
      <c r="D43" s="239"/>
      <c r="E43" s="239"/>
      <c r="F43" s="239"/>
      <c r="G43" s="239"/>
      <c r="H43" s="240"/>
    </row>
    <row r="44" spans="2:8" ht="15.75" customHeight="1" x14ac:dyDescent="0.2">
      <c r="B44" s="238" t="s">
        <v>60</v>
      </c>
      <c r="C44" s="239"/>
      <c r="D44" s="239"/>
      <c r="E44" s="239"/>
      <c r="F44" s="239"/>
      <c r="G44" s="239"/>
      <c r="H44" s="240"/>
    </row>
  </sheetData>
  <mergeCells count="64">
    <mergeCell ref="B43:H43"/>
    <mergeCell ref="B44:H44"/>
    <mergeCell ref="E31:F31"/>
    <mergeCell ref="E32:F32"/>
    <mergeCell ref="E33:F33"/>
    <mergeCell ref="E34:F34"/>
    <mergeCell ref="E35:F35"/>
    <mergeCell ref="E36:F36"/>
    <mergeCell ref="E37:F37"/>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C27:D27"/>
    <mergeCell ref="C28:D28"/>
    <mergeCell ref="C29:D29"/>
    <mergeCell ref="E24:F24"/>
    <mergeCell ref="E25:F25"/>
    <mergeCell ref="E26:F26"/>
    <mergeCell ref="E27:F27"/>
    <mergeCell ref="E28:F28"/>
    <mergeCell ref="E29:F29"/>
    <mergeCell ref="E23:F23"/>
    <mergeCell ref="C23:D23"/>
    <mergeCell ref="C24:D24"/>
    <mergeCell ref="C25:D25"/>
    <mergeCell ref="C26:D26"/>
    <mergeCell ref="E18:F18"/>
    <mergeCell ref="E19:F19"/>
    <mergeCell ref="E20:F20"/>
    <mergeCell ref="E21:F21"/>
    <mergeCell ref="E22:F22"/>
    <mergeCell ref="C18:D18"/>
    <mergeCell ref="C19:D19"/>
    <mergeCell ref="C20:D20"/>
    <mergeCell ref="C21:D21"/>
    <mergeCell ref="C22:D22"/>
    <mergeCell ref="C15:D15"/>
    <mergeCell ref="E15:F15"/>
    <mergeCell ref="E16:F16"/>
    <mergeCell ref="C16:D16"/>
    <mergeCell ref="C17:D17"/>
    <mergeCell ref="E17:F17"/>
    <mergeCell ref="C12:D12"/>
    <mergeCell ref="E12:F12"/>
    <mergeCell ref="C13:D13"/>
    <mergeCell ref="E13:F13"/>
    <mergeCell ref="C14:D14"/>
    <mergeCell ref="E14:F14"/>
    <mergeCell ref="B2:H2"/>
    <mergeCell ref="B4:H5"/>
    <mergeCell ref="B6:H6"/>
    <mergeCell ref="B7:H7"/>
    <mergeCell ref="B9:H1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T51"/>
  <sheetViews>
    <sheetView topLeftCell="A16" zoomScale="40" zoomScaleNormal="40" workbookViewId="0">
      <selection activeCell="V22" sqref="V22:W23"/>
    </sheetView>
  </sheetViews>
  <sheetFormatPr baseColWidth="10" defaultColWidth="12.625" defaultRowHeight="15" customHeight="1" x14ac:dyDescent="0.2"/>
  <cols>
    <col min="1" max="1" width="9.375" customWidth="1"/>
    <col min="2" max="39" width="5" customWidth="1"/>
    <col min="40" max="40" width="9.375" customWidth="1"/>
    <col min="41" max="46" width="5" customWidth="1"/>
    <col min="47" max="61" width="9.375" customWidth="1"/>
  </cols>
  <sheetData>
    <row r="2" spans="2:46" ht="18" customHeight="1" x14ac:dyDescent="0.25">
      <c r="B2" s="285" t="s">
        <v>93</v>
      </c>
      <c r="C2" s="211"/>
      <c r="D2" s="211"/>
      <c r="E2" s="211"/>
      <c r="F2" s="211"/>
      <c r="G2" s="211"/>
      <c r="H2" s="211"/>
      <c r="I2" s="211"/>
      <c r="J2" s="286" t="s">
        <v>15</v>
      </c>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48"/>
      <c r="AN2" s="1"/>
      <c r="AO2" s="1"/>
      <c r="AP2" s="1"/>
      <c r="AQ2" s="1"/>
      <c r="AR2" s="1"/>
      <c r="AS2" s="1"/>
      <c r="AT2" s="1"/>
    </row>
    <row r="3" spans="2:46" ht="18.75" customHeight="1" x14ac:dyDescent="0.25">
      <c r="B3" s="211"/>
      <c r="C3" s="211"/>
      <c r="D3" s="211"/>
      <c r="E3" s="211"/>
      <c r="F3" s="211"/>
      <c r="G3" s="211"/>
      <c r="H3" s="211"/>
      <c r="I3" s="211"/>
      <c r="J3" s="288"/>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89"/>
      <c r="AN3" s="1"/>
      <c r="AO3" s="1"/>
      <c r="AP3" s="1"/>
      <c r="AQ3" s="1"/>
      <c r="AR3" s="1"/>
      <c r="AS3" s="1"/>
      <c r="AT3" s="1"/>
    </row>
    <row r="4" spans="2:46" ht="15" customHeight="1" x14ac:dyDescent="0.25">
      <c r="B4" s="211"/>
      <c r="C4" s="211"/>
      <c r="D4" s="211"/>
      <c r="E4" s="211"/>
      <c r="F4" s="211"/>
      <c r="G4" s="211"/>
      <c r="H4" s="211"/>
      <c r="I4" s="211"/>
      <c r="J4" s="245"/>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50"/>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
      <c r="B6" s="291" t="s">
        <v>94</v>
      </c>
      <c r="C6" s="287"/>
      <c r="D6" s="244"/>
      <c r="E6" s="279" t="s">
        <v>95</v>
      </c>
      <c r="F6" s="280"/>
      <c r="G6" s="280"/>
      <c r="H6" s="280"/>
      <c r="I6" s="262"/>
      <c r="J6" s="252" t="str">
        <f>IF(AND('Mapa final'!$H$16="Muy Alta",'Mapa final'!$L$16="Leve"),CONCATENATE("R",'Mapa final'!$A$16),"")</f>
        <v/>
      </c>
      <c r="K6" s="253"/>
      <c r="L6" s="254" t="str">
        <f>IF(AND('Mapa final'!$H$21="Muy Alta",'Mapa final'!$L$21="Leve"),CONCATENATE("R",'Mapa final'!$A$21),"")</f>
        <v/>
      </c>
      <c r="M6" s="253"/>
      <c r="N6" s="254" t="str">
        <f>IF(AND('Mapa final'!$H$26="Muy Alta",'Mapa final'!$L$26="Leve"),CONCATENATE("R",'Mapa final'!$A$26),"")</f>
        <v/>
      </c>
      <c r="O6" s="262"/>
      <c r="P6" s="252" t="str">
        <f>IF(AND('Mapa final'!$H$16="Muy Alta",'Mapa final'!$L$16="Menor"),CONCATENATE("R",'Mapa final'!$A$16),"")</f>
        <v/>
      </c>
      <c r="Q6" s="253"/>
      <c r="R6" s="254" t="str">
        <f>IF(AND('Mapa final'!$H$21="Muy Alta",'Mapa final'!$L$21="Menor"),CONCATENATE("R",'Mapa final'!$A$21),"")</f>
        <v/>
      </c>
      <c r="S6" s="253"/>
      <c r="T6" s="254" t="str">
        <f>IF(AND('Mapa final'!$H$26="Muy Alta",'Mapa final'!$L$26="Menor"),CONCATENATE("R",'Mapa final'!$A$26),"")</f>
        <v/>
      </c>
      <c r="U6" s="262"/>
      <c r="V6" s="252" t="str">
        <f>IF(AND('Mapa final'!$H$16="Muy Alta",'Mapa final'!$L$16="Moderado"),CONCATENATE("R",'Mapa final'!$A$16),"")</f>
        <v/>
      </c>
      <c r="W6" s="253"/>
      <c r="X6" s="254" t="str">
        <f>IF(AND('Mapa final'!$H$21="Muy Alta",'Mapa final'!$L$21="Moderado"),CONCATENATE("R",'Mapa final'!$A$21),"")</f>
        <v/>
      </c>
      <c r="Y6" s="253"/>
      <c r="Z6" s="254" t="str">
        <f>IF(AND('Mapa final'!$H$26="Muy Alta",'Mapa final'!$L$26="Moderado"),CONCATENATE("R",'Mapa final'!$A$26),"")</f>
        <v/>
      </c>
      <c r="AA6" s="262"/>
      <c r="AB6" s="252" t="str">
        <f>IF(AND('Mapa final'!$H$16="Muy Alta",'Mapa final'!$L$16="Mayor"),CONCATENATE("R",'Mapa final'!$A$16),"")</f>
        <v/>
      </c>
      <c r="AC6" s="253"/>
      <c r="AD6" s="254" t="str">
        <f>IF(AND('Mapa final'!$H$21="Muy Alta",'Mapa final'!$L$21="Mayor"),CONCATENATE("R",'Mapa final'!$A$21),"")</f>
        <v/>
      </c>
      <c r="AE6" s="253"/>
      <c r="AF6" s="254" t="str">
        <f>IF(AND('Mapa final'!$H$26="Muy Alta",'Mapa final'!$L$26="Mayor"),CONCATENATE("R",'Mapa final'!$A$26),"")</f>
        <v/>
      </c>
      <c r="AG6" s="262"/>
      <c r="AH6" s="264" t="str">
        <f>IF(AND('Mapa final'!$H$16="Muy Alta",'Mapa final'!$L$16="Catastrófico"),CONCATENATE("R",'Mapa final'!$A$16),"")</f>
        <v/>
      </c>
      <c r="AI6" s="253"/>
      <c r="AJ6" s="256" t="str">
        <f>IF(AND('Mapa final'!$H$21="Muy Alta",'Mapa final'!$L$21="Catastrófico"),CONCATENATE("R",'Mapa final'!$A$21),"")</f>
        <v/>
      </c>
      <c r="AK6" s="253"/>
      <c r="AL6" s="256" t="str">
        <f>IF(AND('Mapa final'!$H$26="Muy Alta",'Mapa final'!$L$26="Catastrófico"),CONCATENATE("R",'Mapa final'!$A$26),"")</f>
        <v/>
      </c>
      <c r="AM6" s="262"/>
      <c r="AO6" s="278" t="s">
        <v>96</v>
      </c>
      <c r="AP6" s="269"/>
      <c r="AQ6" s="269"/>
      <c r="AR6" s="269"/>
      <c r="AS6" s="269"/>
      <c r="AT6" s="270"/>
    </row>
    <row r="7" spans="2:46" ht="15" customHeight="1" x14ac:dyDescent="0.25">
      <c r="B7" s="288"/>
      <c r="C7" s="211"/>
      <c r="D7" s="212"/>
      <c r="E7" s="223"/>
      <c r="F7" s="211"/>
      <c r="G7" s="211"/>
      <c r="H7" s="211"/>
      <c r="I7" s="212"/>
      <c r="J7" s="249"/>
      <c r="K7" s="250"/>
      <c r="L7" s="245"/>
      <c r="M7" s="250"/>
      <c r="N7" s="245"/>
      <c r="O7" s="246"/>
      <c r="P7" s="249"/>
      <c r="Q7" s="250"/>
      <c r="R7" s="245"/>
      <c r="S7" s="250"/>
      <c r="T7" s="245"/>
      <c r="U7" s="246"/>
      <c r="V7" s="249"/>
      <c r="W7" s="250"/>
      <c r="X7" s="245"/>
      <c r="Y7" s="250"/>
      <c r="Z7" s="245"/>
      <c r="AA7" s="246"/>
      <c r="AB7" s="249"/>
      <c r="AC7" s="250"/>
      <c r="AD7" s="245"/>
      <c r="AE7" s="250"/>
      <c r="AF7" s="245"/>
      <c r="AG7" s="246"/>
      <c r="AH7" s="249"/>
      <c r="AI7" s="250"/>
      <c r="AJ7" s="245"/>
      <c r="AK7" s="250"/>
      <c r="AL7" s="245"/>
      <c r="AM7" s="246"/>
      <c r="AN7" s="1"/>
      <c r="AO7" s="271"/>
      <c r="AP7" s="211"/>
      <c r="AQ7" s="211"/>
      <c r="AR7" s="211"/>
      <c r="AS7" s="211"/>
      <c r="AT7" s="272"/>
    </row>
    <row r="8" spans="2:46" ht="15" customHeight="1" x14ac:dyDescent="0.25">
      <c r="B8" s="288"/>
      <c r="C8" s="211"/>
      <c r="D8" s="212"/>
      <c r="E8" s="223"/>
      <c r="F8" s="211"/>
      <c r="G8" s="211"/>
      <c r="H8" s="211"/>
      <c r="I8" s="212"/>
      <c r="J8" s="255" t="str">
        <f>IF(AND('Mapa final'!$H$31="Muy Alta",'Mapa final'!$L$31="Leve"),CONCATENATE("R",'Mapa final'!$A$31),"")</f>
        <v/>
      </c>
      <c r="K8" s="248"/>
      <c r="L8" s="243" t="str">
        <f>IF(AND('Mapa final'!$H$36="Muy Alta",'Mapa final'!$L$36="Leve"),CONCATENATE("R",'Mapa final'!$A$36),"")</f>
        <v/>
      </c>
      <c r="M8" s="248"/>
      <c r="N8" s="243" t="str">
        <f>IF(AND('Mapa final'!$H$41="Muy Alta",'Mapa final'!$L$41="Leve"),CONCATENATE("R",'Mapa final'!$A$41),"")</f>
        <v/>
      </c>
      <c r="O8" s="244"/>
      <c r="P8" s="255" t="str">
        <f>IF(AND('Mapa final'!$H$31="Muy Alta",'Mapa final'!$L$31="Menor"),CONCATENATE("R",'Mapa final'!$A$31),"")</f>
        <v/>
      </c>
      <c r="Q8" s="248"/>
      <c r="R8" s="243" t="str">
        <f>IF(AND('Mapa final'!$H$36="Muy Alta",'Mapa final'!$L$36="Menor"),CONCATENATE("R",'Mapa final'!$A$36),"")</f>
        <v/>
      </c>
      <c r="S8" s="248"/>
      <c r="T8" s="243" t="str">
        <f>IF(AND('Mapa final'!$H$41="Muy Alta",'Mapa final'!$L$41="Menor"),CONCATENATE("R",'Mapa final'!$A$41),"")</f>
        <v/>
      </c>
      <c r="U8" s="244"/>
      <c r="V8" s="255" t="str">
        <f>IF(AND('Mapa final'!$H$31="Muy Alta",'Mapa final'!$L$31="Moderado"),CONCATENATE("R",'Mapa final'!$A$31),"")</f>
        <v/>
      </c>
      <c r="W8" s="248"/>
      <c r="X8" s="243" t="str">
        <f>IF(AND('Mapa final'!$H$36="Muy Alta",'Mapa final'!$L$36="Moderado"),CONCATENATE("R",'Mapa final'!$A$36),"")</f>
        <v/>
      </c>
      <c r="Y8" s="248"/>
      <c r="Z8" s="243" t="str">
        <f>IF(AND('Mapa final'!$H$41="Muy Alta",'Mapa final'!$L$41="Moderado"),CONCATENATE("R",'Mapa final'!$A$41),"")</f>
        <v/>
      </c>
      <c r="AA8" s="244"/>
      <c r="AB8" s="255" t="str">
        <f>IF(AND('Mapa final'!$H$31="Muy Alta",'Mapa final'!$L$31="Mayor"),CONCATENATE("R",'Mapa final'!$A$31),"")</f>
        <v/>
      </c>
      <c r="AC8" s="248"/>
      <c r="AD8" s="243" t="str">
        <f>IF(AND('Mapa final'!$H$36="Muy Alta",'Mapa final'!$L$36="Mayor"),CONCATENATE("R",'Mapa final'!$A$36),"")</f>
        <v/>
      </c>
      <c r="AE8" s="248"/>
      <c r="AF8" s="243" t="str">
        <f>IF(AND('Mapa final'!$H$41="Muy Alta",'Mapa final'!$L$41="Mayor"),CONCATENATE("R",'Mapa final'!$A$41),"")</f>
        <v/>
      </c>
      <c r="AG8" s="244"/>
      <c r="AH8" s="247" t="str">
        <f>IF(AND('Mapa final'!$H$31="Muy Alta",'Mapa final'!$L$31="Catastrófico"),CONCATENATE("R",'Mapa final'!$A$31),"")</f>
        <v/>
      </c>
      <c r="AI8" s="248"/>
      <c r="AJ8" s="251" t="str">
        <f>IF(AND('Mapa final'!$H$36="Muy Alta",'Mapa final'!$L$36="Catastrófico"),CONCATENATE("R",'Mapa final'!$A$36),"")</f>
        <v/>
      </c>
      <c r="AK8" s="248"/>
      <c r="AL8" s="251" t="str">
        <f>IF(AND('Mapa final'!$H$41="Muy Alta",'Mapa final'!$L$41="Catastrófico"),CONCATENATE("R",'Mapa final'!$A$41),"")</f>
        <v/>
      </c>
      <c r="AM8" s="244"/>
      <c r="AN8" s="1"/>
      <c r="AO8" s="271"/>
      <c r="AP8" s="211"/>
      <c r="AQ8" s="211"/>
      <c r="AR8" s="211"/>
      <c r="AS8" s="211"/>
      <c r="AT8" s="272"/>
    </row>
    <row r="9" spans="2:46" ht="15" customHeight="1" x14ac:dyDescent="0.25">
      <c r="B9" s="288"/>
      <c r="C9" s="211"/>
      <c r="D9" s="212"/>
      <c r="E9" s="223"/>
      <c r="F9" s="211"/>
      <c r="G9" s="211"/>
      <c r="H9" s="211"/>
      <c r="I9" s="212"/>
      <c r="J9" s="249"/>
      <c r="K9" s="250"/>
      <c r="L9" s="245"/>
      <c r="M9" s="250"/>
      <c r="N9" s="245"/>
      <c r="O9" s="246"/>
      <c r="P9" s="249"/>
      <c r="Q9" s="250"/>
      <c r="R9" s="245"/>
      <c r="S9" s="250"/>
      <c r="T9" s="245"/>
      <c r="U9" s="246"/>
      <c r="V9" s="249"/>
      <c r="W9" s="250"/>
      <c r="X9" s="245"/>
      <c r="Y9" s="250"/>
      <c r="Z9" s="245"/>
      <c r="AA9" s="246"/>
      <c r="AB9" s="249"/>
      <c r="AC9" s="250"/>
      <c r="AD9" s="245"/>
      <c r="AE9" s="250"/>
      <c r="AF9" s="245"/>
      <c r="AG9" s="246"/>
      <c r="AH9" s="249"/>
      <c r="AI9" s="250"/>
      <c r="AJ9" s="245"/>
      <c r="AK9" s="250"/>
      <c r="AL9" s="245"/>
      <c r="AM9" s="246"/>
      <c r="AN9" s="1"/>
      <c r="AO9" s="271"/>
      <c r="AP9" s="211"/>
      <c r="AQ9" s="211"/>
      <c r="AR9" s="211"/>
      <c r="AS9" s="211"/>
      <c r="AT9" s="272"/>
    </row>
    <row r="10" spans="2:46" ht="15" customHeight="1" x14ac:dyDescent="0.25">
      <c r="B10" s="288"/>
      <c r="C10" s="211"/>
      <c r="D10" s="212"/>
      <c r="E10" s="223"/>
      <c r="F10" s="211"/>
      <c r="G10" s="211"/>
      <c r="H10" s="211"/>
      <c r="I10" s="212"/>
      <c r="J10" s="255" t="e">
        <f>IF(AND('Mapa final'!#REF!="Muy Alta",'Mapa final'!#REF!="Leve"),CONCATENATE("R",'Mapa final'!#REF!),"")</f>
        <v>#REF!</v>
      </c>
      <c r="K10" s="248"/>
      <c r="L10" s="243" t="e">
        <f>IF(AND('Mapa final'!#REF!="Muy Alta",'Mapa final'!#REF!="Leve"),CONCATENATE("R",'Mapa final'!#REF!),"")</f>
        <v>#REF!</v>
      </c>
      <c r="M10" s="248"/>
      <c r="N10" s="243" t="e">
        <f>IF(AND('Mapa final'!#REF!="Muy Alta",'Mapa final'!#REF!="Leve"),CONCATENATE("R",'Mapa final'!#REF!),"")</f>
        <v>#REF!</v>
      </c>
      <c r="O10" s="244"/>
      <c r="P10" s="255" t="e">
        <f>IF(AND('Mapa final'!#REF!="Muy Alta",'Mapa final'!#REF!="Menor"),CONCATENATE("R",'Mapa final'!#REF!),"")</f>
        <v>#REF!</v>
      </c>
      <c r="Q10" s="248"/>
      <c r="R10" s="243" t="e">
        <f>IF(AND('Mapa final'!#REF!="Muy Alta",'Mapa final'!#REF!="Menor"),CONCATENATE("R",'Mapa final'!#REF!),"")</f>
        <v>#REF!</v>
      </c>
      <c r="S10" s="248"/>
      <c r="T10" s="243" t="e">
        <f>IF(AND('Mapa final'!#REF!="Muy Alta",'Mapa final'!#REF!="Menor"),CONCATENATE("R",'Mapa final'!#REF!),"")</f>
        <v>#REF!</v>
      </c>
      <c r="U10" s="244"/>
      <c r="V10" s="255" t="e">
        <f>IF(AND('Mapa final'!#REF!="Muy Alta",'Mapa final'!#REF!="Moderado"),CONCATENATE("R",'Mapa final'!#REF!),"")</f>
        <v>#REF!</v>
      </c>
      <c r="W10" s="248"/>
      <c r="X10" s="243" t="e">
        <f>IF(AND('Mapa final'!#REF!="Muy Alta",'Mapa final'!#REF!="Moderado"),CONCATENATE("R",'Mapa final'!#REF!),"")</f>
        <v>#REF!</v>
      </c>
      <c r="Y10" s="248"/>
      <c r="Z10" s="243" t="e">
        <f>IF(AND('Mapa final'!#REF!="Muy Alta",'Mapa final'!#REF!="Moderado"),CONCATENATE("R",'Mapa final'!#REF!),"")</f>
        <v>#REF!</v>
      </c>
      <c r="AA10" s="244"/>
      <c r="AB10" s="255" t="e">
        <f>IF(AND('Mapa final'!#REF!="Muy Alta",'Mapa final'!#REF!="Mayor"),CONCATENATE("R",'Mapa final'!#REF!),"")</f>
        <v>#REF!</v>
      </c>
      <c r="AC10" s="248"/>
      <c r="AD10" s="243" t="e">
        <f>IF(AND('Mapa final'!#REF!="Muy Alta",'Mapa final'!#REF!="Mayor"),CONCATENATE("R",'Mapa final'!#REF!),"")</f>
        <v>#REF!</v>
      </c>
      <c r="AE10" s="248"/>
      <c r="AF10" s="243" t="e">
        <f>IF(AND('Mapa final'!#REF!="Muy Alta",'Mapa final'!#REF!="Mayor"),CONCATENATE("R",'Mapa final'!#REF!),"")</f>
        <v>#REF!</v>
      </c>
      <c r="AG10" s="244"/>
      <c r="AH10" s="247" t="e">
        <f>IF(AND('Mapa final'!#REF!="Muy Alta",'Mapa final'!#REF!="Catastrófico"),CONCATENATE("R",'Mapa final'!#REF!),"")</f>
        <v>#REF!</v>
      </c>
      <c r="AI10" s="248"/>
      <c r="AJ10" s="251" t="e">
        <f>IF(AND('Mapa final'!#REF!="Muy Alta",'Mapa final'!#REF!="Catastrófico"),CONCATENATE("R",'Mapa final'!#REF!),"")</f>
        <v>#REF!</v>
      </c>
      <c r="AK10" s="248"/>
      <c r="AL10" s="251" t="e">
        <f>IF(AND('Mapa final'!#REF!="Muy Alta",'Mapa final'!#REF!="Catastrófico"),CONCATENATE("R",'Mapa final'!#REF!),"")</f>
        <v>#REF!</v>
      </c>
      <c r="AM10" s="244"/>
      <c r="AN10" s="1"/>
      <c r="AO10" s="271"/>
      <c r="AP10" s="211"/>
      <c r="AQ10" s="211"/>
      <c r="AR10" s="211"/>
      <c r="AS10" s="211"/>
      <c r="AT10" s="272"/>
    </row>
    <row r="11" spans="2:46" ht="15" customHeight="1" x14ac:dyDescent="0.25">
      <c r="B11" s="288"/>
      <c r="C11" s="211"/>
      <c r="D11" s="212"/>
      <c r="E11" s="223"/>
      <c r="F11" s="211"/>
      <c r="G11" s="211"/>
      <c r="H11" s="211"/>
      <c r="I11" s="212"/>
      <c r="J11" s="249"/>
      <c r="K11" s="250"/>
      <c r="L11" s="245"/>
      <c r="M11" s="250"/>
      <c r="N11" s="245"/>
      <c r="O11" s="246"/>
      <c r="P11" s="249"/>
      <c r="Q11" s="250"/>
      <c r="R11" s="245"/>
      <c r="S11" s="250"/>
      <c r="T11" s="245"/>
      <c r="U11" s="246"/>
      <c r="V11" s="249"/>
      <c r="W11" s="250"/>
      <c r="X11" s="245"/>
      <c r="Y11" s="250"/>
      <c r="Z11" s="245"/>
      <c r="AA11" s="246"/>
      <c r="AB11" s="249"/>
      <c r="AC11" s="250"/>
      <c r="AD11" s="245"/>
      <c r="AE11" s="250"/>
      <c r="AF11" s="245"/>
      <c r="AG11" s="246"/>
      <c r="AH11" s="249"/>
      <c r="AI11" s="250"/>
      <c r="AJ11" s="245"/>
      <c r="AK11" s="250"/>
      <c r="AL11" s="245"/>
      <c r="AM11" s="246"/>
      <c r="AN11" s="1"/>
      <c r="AO11" s="271"/>
      <c r="AP11" s="211"/>
      <c r="AQ11" s="211"/>
      <c r="AR11" s="211"/>
      <c r="AS11" s="211"/>
      <c r="AT11" s="272"/>
    </row>
    <row r="12" spans="2:46" ht="15" customHeight="1" x14ac:dyDescent="0.25">
      <c r="B12" s="288"/>
      <c r="C12" s="211"/>
      <c r="D12" s="212"/>
      <c r="E12" s="223"/>
      <c r="F12" s="211"/>
      <c r="G12" s="211"/>
      <c r="H12" s="211"/>
      <c r="I12" s="212"/>
      <c r="J12" s="255" t="e">
        <f>IF(AND('Mapa final'!#REF!="Muy Alta",'Mapa final'!#REF!="Leve"),CONCATENATE("R",'Mapa final'!#REF!),"")</f>
        <v>#REF!</v>
      </c>
      <c r="K12" s="248"/>
      <c r="L12" s="243" t="str">
        <f>IF(AND('Mapa final'!$H$46="Muy Alta",'Mapa final'!$L$46="Leve"),CONCATENATE("R",'Mapa final'!$A$46),"")</f>
        <v/>
      </c>
      <c r="M12" s="248"/>
      <c r="N12" s="243" t="str">
        <f>IF(AND('Mapa final'!$H$52="Muy Alta",'Mapa final'!$L$52="Leve"),CONCATENATE("R",'Mapa final'!$A$52),"")</f>
        <v/>
      </c>
      <c r="O12" s="244"/>
      <c r="P12" s="255" t="e">
        <f>IF(AND('Mapa final'!#REF!="Muy Alta",'Mapa final'!#REF!="Menor"),CONCATENATE("R",'Mapa final'!#REF!),"")</f>
        <v>#REF!</v>
      </c>
      <c r="Q12" s="248"/>
      <c r="R12" s="243" t="str">
        <f>IF(AND('Mapa final'!$H$46="Muy Alta",'Mapa final'!$L$46="Menor"),CONCATENATE("R",'Mapa final'!$A$46),"")</f>
        <v/>
      </c>
      <c r="S12" s="248"/>
      <c r="T12" s="243" t="str">
        <f>IF(AND('Mapa final'!$H$52="Muy Alta",'Mapa final'!$L$52="Menor"),CONCATENATE("R",'Mapa final'!$A$52),"")</f>
        <v/>
      </c>
      <c r="U12" s="244"/>
      <c r="V12" s="255" t="e">
        <f>IF(AND('Mapa final'!#REF!="Muy Alta",'Mapa final'!#REF!="Moderado"),CONCATENATE("R",'Mapa final'!#REF!),"")</f>
        <v>#REF!</v>
      </c>
      <c r="W12" s="248"/>
      <c r="X12" s="243" t="str">
        <f>IF(AND('Mapa final'!$H$46="Muy Alta",'Mapa final'!$L$46="Moderado"),CONCATENATE("R",'Mapa final'!$A$46),"")</f>
        <v/>
      </c>
      <c r="Y12" s="248"/>
      <c r="Z12" s="243" t="str">
        <f>IF(AND('Mapa final'!$H$52="Muy Alta",'Mapa final'!$L$52="Moderado"),CONCATENATE("R",'Mapa final'!$A$52),"")</f>
        <v/>
      </c>
      <c r="AA12" s="244"/>
      <c r="AB12" s="255" t="e">
        <f>IF(AND('Mapa final'!#REF!="Muy Alta",'Mapa final'!#REF!="Mayor"),CONCATENATE("R",'Mapa final'!#REF!),"")</f>
        <v>#REF!</v>
      </c>
      <c r="AC12" s="248"/>
      <c r="AD12" s="243" t="str">
        <f>IF(AND('Mapa final'!$H$46="Muy Alta",'Mapa final'!$L$46="Mayor"),CONCATENATE("R",'Mapa final'!$A$46),"")</f>
        <v/>
      </c>
      <c r="AE12" s="248"/>
      <c r="AF12" s="243" t="str">
        <f>IF(AND('Mapa final'!$H$52="Muy Alta",'Mapa final'!$L$52="Mayor"),CONCATENATE("R",'Mapa final'!$A$52),"")</f>
        <v/>
      </c>
      <c r="AG12" s="244"/>
      <c r="AH12" s="247" t="e">
        <f>IF(AND('Mapa final'!#REF!="Muy Alta",'Mapa final'!#REF!="Catastrófico"),CONCATENATE("R",'Mapa final'!#REF!),"")</f>
        <v>#REF!</v>
      </c>
      <c r="AI12" s="248"/>
      <c r="AJ12" s="251" t="str">
        <f>IF(AND('Mapa final'!$H$46="Muy Alta",'Mapa final'!$L$46="Catastrófico"),CONCATENATE("R",'Mapa final'!$A$46),"")</f>
        <v/>
      </c>
      <c r="AK12" s="248"/>
      <c r="AL12" s="251" t="str">
        <f>IF(AND('Mapa final'!$H$52="Muy Alta",'Mapa final'!$L$52="Catastrófico"),CONCATENATE("R",'Mapa final'!$A$52),"")</f>
        <v/>
      </c>
      <c r="AM12" s="244"/>
      <c r="AN12" s="1"/>
      <c r="AO12" s="271"/>
      <c r="AP12" s="211"/>
      <c r="AQ12" s="211"/>
      <c r="AR12" s="211"/>
      <c r="AS12" s="211"/>
      <c r="AT12" s="272"/>
    </row>
    <row r="13" spans="2:46" ht="15.75" customHeight="1" x14ac:dyDescent="0.25">
      <c r="B13" s="288"/>
      <c r="C13" s="211"/>
      <c r="D13" s="212"/>
      <c r="E13" s="257"/>
      <c r="F13" s="281"/>
      <c r="G13" s="281"/>
      <c r="H13" s="281"/>
      <c r="I13" s="260"/>
      <c r="J13" s="249"/>
      <c r="K13" s="250"/>
      <c r="L13" s="245"/>
      <c r="M13" s="250"/>
      <c r="N13" s="245"/>
      <c r="O13" s="246"/>
      <c r="P13" s="249"/>
      <c r="Q13" s="250"/>
      <c r="R13" s="245"/>
      <c r="S13" s="250"/>
      <c r="T13" s="245"/>
      <c r="U13" s="246"/>
      <c r="V13" s="249"/>
      <c r="W13" s="250"/>
      <c r="X13" s="245"/>
      <c r="Y13" s="250"/>
      <c r="Z13" s="245"/>
      <c r="AA13" s="246"/>
      <c r="AB13" s="249"/>
      <c r="AC13" s="250"/>
      <c r="AD13" s="245"/>
      <c r="AE13" s="250"/>
      <c r="AF13" s="245"/>
      <c r="AG13" s="246"/>
      <c r="AH13" s="257"/>
      <c r="AI13" s="258"/>
      <c r="AJ13" s="259"/>
      <c r="AK13" s="258"/>
      <c r="AL13" s="259"/>
      <c r="AM13" s="260"/>
      <c r="AN13" s="1"/>
      <c r="AO13" s="273"/>
      <c r="AP13" s="274"/>
      <c r="AQ13" s="274"/>
      <c r="AR13" s="274"/>
      <c r="AS13" s="274"/>
      <c r="AT13" s="275"/>
    </row>
    <row r="14" spans="2:46" ht="15" customHeight="1" x14ac:dyDescent="0.25">
      <c r="B14" s="288"/>
      <c r="C14" s="211"/>
      <c r="D14" s="212"/>
      <c r="E14" s="279" t="s">
        <v>97</v>
      </c>
      <c r="F14" s="280"/>
      <c r="G14" s="280"/>
      <c r="H14" s="280"/>
      <c r="I14" s="280"/>
      <c r="J14" s="263" t="str">
        <f>IF(AND('Mapa final'!$H$16="Alta",'Mapa final'!$L$16="Leve"),CONCATENATE("R",'Mapa final'!$A$16),"")</f>
        <v/>
      </c>
      <c r="K14" s="253"/>
      <c r="L14" s="261" t="str">
        <f>IF(AND('Mapa final'!$H$21="Alta",'Mapa final'!$L$21="Leve"),CONCATENATE("R",'Mapa final'!$A$21),"")</f>
        <v/>
      </c>
      <c r="M14" s="253"/>
      <c r="N14" s="261" t="str">
        <f>IF(AND('Mapa final'!$H$26="Alta",'Mapa final'!$L$26="Leve"),CONCATENATE("R",'Mapa final'!$A$26),"")</f>
        <v/>
      </c>
      <c r="O14" s="262"/>
      <c r="P14" s="263" t="str">
        <f>IF(AND('Mapa final'!$H$16="Alta",'Mapa final'!$L$16="Menor"),CONCATENATE("R",'Mapa final'!$A$16),"")</f>
        <v/>
      </c>
      <c r="Q14" s="253"/>
      <c r="R14" s="261" t="str">
        <f>IF(AND('Mapa final'!$H$21="Alta",'Mapa final'!$L$21="Menor"),CONCATENATE("R",'Mapa final'!$A$21),"")</f>
        <v/>
      </c>
      <c r="S14" s="253"/>
      <c r="T14" s="261" t="str">
        <f>IF(AND('Mapa final'!$H$26="Alta",'Mapa final'!$L$26="Menor"),CONCATENATE("R",'Mapa final'!$A$26),"")</f>
        <v/>
      </c>
      <c r="U14" s="262"/>
      <c r="V14" s="252" t="str">
        <f>IF(AND('Mapa final'!$H$16="Alta",'Mapa final'!$L$16="Moderado"),CONCATENATE("R",'Mapa final'!$A$16),"")</f>
        <v/>
      </c>
      <c r="W14" s="253"/>
      <c r="X14" s="254" t="str">
        <f>IF(AND('Mapa final'!$H$21="Alta",'Mapa final'!$L$21="Moderado"),CONCATENATE("R",'Mapa final'!$A$21),"")</f>
        <v/>
      </c>
      <c r="Y14" s="253"/>
      <c r="Z14" s="254" t="str">
        <f>IF(AND('Mapa final'!$H$26="Alta",'Mapa final'!$L$26="Moderado"),CONCATENATE("R",'Mapa final'!$A$26),"")</f>
        <v/>
      </c>
      <c r="AA14" s="262"/>
      <c r="AB14" s="252" t="str">
        <f>IF(AND('Mapa final'!$H$16="Alta",'Mapa final'!$L$16="Mayor"),CONCATENATE("R",'Mapa final'!$A$16),"")</f>
        <v/>
      </c>
      <c r="AC14" s="253"/>
      <c r="AD14" s="254" t="str">
        <f>IF(AND('Mapa final'!$H$21="Alta",'Mapa final'!$L$21="Mayor"),CONCATENATE("R",'Mapa final'!$A$21),"")</f>
        <v/>
      </c>
      <c r="AE14" s="253"/>
      <c r="AF14" s="254" t="str">
        <f>IF(AND('Mapa final'!$H$26="Alta",'Mapa final'!$L$26="Mayor"),CONCATENATE("R",'Mapa final'!$A$26),"")</f>
        <v/>
      </c>
      <c r="AG14" s="262"/>
      <c r="AH14" s="264" t="str">
        <f>IF(AND('Mapa final'!$H$16="Alta",'Mapa final'!$L$16="Catastrófico"),CONCATENATE("R",'Mapa final'!$A$16),"")</f>
        <v/>
      </c>
      <c r="AI14" s="253"/>
      <c r="AJ14" s="256" t="str">
        <f>IF(AND('Mapa final'!$H$21="Alta",'Mapa final'!$L$21="Catastrófico"),CONCATENATE("R",'Mapa final'!$A$21),"")</f>
        <v/>
      </c>
      <c r="AK14" s="253"/>
      <c r="AL14" s="256" t="str">
        <f>IF(AND('Mapa final'!$H$26="Alta",'Mapa final'!$L$26="Catastrófico"),CONCATENATE("R",'Mapa final'!$A$26),"")</f>
        <v/>
      </c>
      <c r="AM14" s="262"/>
      <c r="AN14" s="1"/>
      <c r="AO14" s="276" t="s">
        <v>98</v>
      </c>
      <c r="AP14" s="269"/>
      <c r="AQ14" s="269"/>
      <c r="AR14" s="269"/>
      <c r="AS14" s="269"/>
      <c r="AT14" s="270"/>
    </row>
    <row r="15" spans="2:46" ht="15" customHeight="1" x14ac:dyDescent="0.25">
      <c r="B15" s="288"/>
      <c r="C15" s="211"/>
      <c r="D15" s="212"/>
      <c r="E15" s="223"/>
      <c r="F15" s="211"/>
      <c r="G15" s="211"/>
      <c r="H15" s="211"/>
      <c r="I15" s="211"/>
      <c r="J15" s="249"/>
      <c r="K15" s="250"/>
      <c r="L15" s="245"/>
      <c r="M15" s="250"/>
      <c r="N15" s="245"/>
      <c r="O15" s="246"/>
      <c r="P15" s="249"/>
      <c r="Q15" s="250"/>
      <c r="R15" s="245"/>
      <c r="S15" s="250"/>
      <c r="T15" s="245"/>
      <c r="U15" s="246"/>
      <c r="V15" s="249"/>
      <c r="W15" s="250"/>
      <c r="X15" s="245"/>
      <c r="Y15" s="250"/>
      <c r="Z15" s="245"/>
      <c r="AA15" s="246"/>
      <c r="AB15" s="249"/>
      <c r="AC15" s="250"/>
      <c r="AD15" s="245"/>
      <c r="AE15" s="250"/>
      <c r="AF15" s="245"/>
      <c r="AG15" s="246"/>
      <c r="AH15" s="249"/>
      <c r="AI15" s="250"/>
      <c r="AJ15" s="245"/>
      <c r="AK15" s="250"/>
      <c r="AL15" s="245"/>
      <c r="AM15" s="246"/>
      <c r="AN15" s="1"/>
      <c r="AO15" s="271"/>
      <c r="AP15" s="211"/>
      <c r="AQ15" s="211"/>
      <c r="AR15" s="211"/>
      <c r="AS15" s="211"/>
      <c r="AT15" s="272"/>
    </row>
    <row r="16" spans="2:46" ht="15" customHeight="1" x14ac:dyDescent="0.25">
      <c r="B16" s="288"/>
      <c r="C16" s="211"/>
      <c r="D16" s="212"/>
      <c r="E16" s="223"/>
      <c r="F16" s="211"/>
      <c r="G16" s="211"/>
      <c r="H16" s="211"/>
      <c r="I16" s="211"/>
      <c r="J16" s="267" t="str">
        <f>IF(AND('Mapa final'!$H$31="Alta",'Mapa final'!$L$31="Leve"),CONCATENATE("R",'Mapa final'!$A$31),"")</f>
        <v/>
      </c>
      <c r="K16" s="248"/>
      <c r="L16" s="266" t="str">
        <f>IF(AND('Mapa final'!$H$36="Alta",'Mapa final'!$L$36="Leve"),CONCATENATE("R",'Mapa final'!$A$36),"")</f>
        <v/>
      </c>
      <c r="M16" s="248"/>
      <c r="N16" s="266" t="str">
        <f>IF(AND('Mapa final'!$H$41="Alta",'Mapa final'!$L$41="Leve"),CONCATENATE("R",'Mapa final'!$A$41),"")</f>
        <v/>
      </c>
      <c r="O16" s="244"/>
      <c r="P16" s="267" t="str">
        <f>IF(AND('Mapa final'!$H$31="Alta",'Mapa final'!$L$31="Menor"),CONCATENATE("R",'Mapa final'!$A$31),"")</f>
        <v/>
      </c>
      <c r="Q16" s="248"/>
      <c r="R16" s="266" t="str">
        <f>IF(AND('Mapa final'!$H$36="Alta",'Mapa final'!$L$36="Menor"),CONCATENATE("R",'Mapa final'!$A$36),"")</f>
        <v/>
      </c>
      <c r="S16" s="248"/>
      <c r="T16" s="266" t="str">
        <f>IF(AND('Mapa final'!$H$41="Alta",'Mapa final'!$L$41="Menor"),CONCATENATE("R",'Mapa final'!$A$41),"")</f>
        <v/>
      </c>
      <c r="U16" s="244"/>
      <c r="V16" s="255" t="str">
        <f>IF(AND('Mapa final'!$H$31="Alta",'Mapa final'!$L$31="Moderado"),CONCATENATE("R",'Mapa final'!$A$31),"")</f>
        <v/>
      </c>
      <c r="W16" s="248"/>
      <c r="X16" s="243" t="str">
        <f>IF(AND('Mapa final'!$H$36="Alta",'Mapa final'!$L$36="Moderado"),CONCATENATE("R",'Mapa final'!$A$36),"")</f>
        <v/>
      </c>
      <c r="Y16" s="248"/>
      <c r="Z16" s="243" t="str">
        <f>IF(AND('Mapa final'!$H$41="Alta",'Mapa final'!$L$41="Moderado"),CONCATENATE("R",'Mapa final'!$A$41),"")</f>
        <v/>
      </c>
      <c r="AA16" s="244"/>
      <c r="AB16" s="255" t="str">
        <f>IF(AND('Mapa final'!$H$31="Alta",'Mapa final'!$L$31="Mayor"),CONCATENATE("R",'Mapa final'!$A$31),"")</f>
        <v/>
      </c>
      <c r="AC16" s="248"/>
      <c r="AD16" s="243" t="str">
        <f>IF(AND('Mapa final'!$H$36="Alta",'Mapa final'!$L$36="Mayor"),CONCATENATE("R",'Mapa final'!$A$36),"")</f>
        <v/>
      </c>
      <c r="AE16" s="248"/>
      <c r="AF16" s="243" t="str">
        <f>IF(AND('Mapa final'!$H$41="Alta",'Mapa final'!$L$41="Mayor"),CONCATENATE("R",'Mapa final'!$A$41),"")</f>
        <v/>
      </c>
      <c r="AG16" s="244"/>
      <c r="AH16" s="247" t="str">
        <f>IF(AND('Mapa final'!$H$31="Alta",'Mapa final'!$L$31="Catastrófico"),CONCATENATE("R",'Mapa final'!$A$31),"")</f>
        <v/>
      </c>
      <c r="AI16" s="248"/>
      <c r="AJ16" s="251" t="str">
        <f>IF(AND('Mapa final'!$H$36="Alta",'Mapa final'!$L$36="Catastrófico"),CONCATENATE("R",'Mapa final'!$A$36),"")</f>
        <v/>
      </c>
      <c r="AK16" s="248"/>
      <c r="AL16" s="251" t="str">
        <f>IF(AND('Mapa final'!$H$41="Alta",'Mapa final'!$L$41="Catastrófico"),CONCATENATE("R",'Mapa final'!$A$41),"")</f>
        <v/>
      </c>
      <c r="AM16" s="244"/>
      <c r="AN16" s="1"/>
      <c r="AO16" s="271"/>
      <c r="AP16" s="211"/>
      <c r="AQ16" s="211"/>
      <c r="AR16" s="211"/>
      <c r="AS16" s="211"/>
      <c r="AT16" s="272"/>
    </row>
    <row r="17" spans="2:46" ht="15" customHeight="1" x14ac:dyDescent="0.25">
      <c r="B17" s="288"/>
      <c r="C17" s="211"/>
      <c r="D17" s="212"/>
      <c r="E17" s="223"/>
      <c r="F17" s="211"/>
      <c r="G17" s="211"/>
      <c r="H17" s="211"/>
      <c r="I17" s="211"/>
      <c r="J17" s="249"/>
      <c r="K17" s="250"/>
      <c r="L17" s="245"/>
      <c r="M17" s="250"/>
      <c r="N17" s="245"/>
      <c r="O17" s="246"/>
      <c r="P17" s="249"/>
      <c r="Q17" s="250"/>
      <c r="R17" s="245"/>
      <c r="S17" s="250"/>
      <c r="T17" s="245"/>
      <c r="U17" s="246"/>
      <c r="V17" s="249"/>
      <c r="W17" s="250"/>
      <c r="X17" s="245"/>
      <c r="Y17" s="250"/>
      <c r="Z17" s="245"/>
      <c r="AA17" s="246"/>
      <c r="AB17" s="249"/>
      <c r="AC17" s="250"/>
      <c r="AD17" s="245"/>
      <c r="AE17" s="250"/>
      <c r="AF17" s="245"/>
      <c r="AG17" s="246"/>
      <c r="AH17" s="249"/>
      <c r="AI17" s="250"/>
      <c r="AJ17" s="245"/>
      <c r="AK17" s="250"/>
      <c r="AL17" s="245"/>
      <c r="AM17" s="246"/>
      <c r="AN17" s="1"/>
      <c r="AO17" s="271"/>
      <c r="AP17" s="211"/>
      <c r="AQ17" s="211"/>
      <c r="AR17" s="211"/>
      <c r="AS17" s="211"/>
      <c r="AT17" s="272"/>
    </row>
    <row r="18" spans="2:46" ht="15" customHeight="1" x14ac:dyDescent="0.25">
      <c r="B18" s="288"/>
      <c r="C18" s="211"/>
      <c r="D18" s="212"/>
      <c r="E18" s="223"/>
      <c r="F18" s="211"/>
      <c r="G18" s="211"/>
      <c r="H18" s="211"/>
      <c r="I18" s="211"/>
      <c r="J18" s="267" t="e">
        <f>IF(AND('Mapa final'!#REF!="Alta",'Mapa final'!#REF!="Leve"),CONCATENATE("R",'Mapa final'!#REF!),"")</f>
        <v>#REF!</v>
      </c>
      <c r="K18" s="248"/>
      <c r="L18" s="266" t="e">
        <f>IF(AND('Mapa final'!#REF!="Alta",'Mapa final'!#REF!="Leve"),CONCATENATE("R",'Mapa final'!#REF!),"")</f>
        <v>#REF!</v>
      </c>
      <c r="M18" s="248"/>
      <c r="N18" s="266" t="e">
        <f>IF(AND('Mapa final'!#REF!="Alta",'Mapa final'!#REF!="Leve"),CONCATENATE("R",'Mapa final'!#REF!),"")</f>
        <v>#REF!</v>
      </c>
      <c r="O18" s="244"/>
      <c r="P18" s="267" t="e">
        <f>IF(AND('Mapa final'!#REF!="Alta",'Mapa final'!#REF!="Menor"),CONCATENATE("R",'Mapa final'!#REF!),"")</f>
        <v>#REF!</v>
      </c>
      <c r="Q18" s="248"/>
      <c r="R18" s="266" t="e">
        <f>IF(AND('Mapa final'!#REF!="Alta",'Mapa final'!#REF!="Menor"),CONCATENATE("R",'Mapa final'!#REF!),"")</f>
        <v>#REF!</v>
      </c>
      <c r="S18" s="248"/>
      <c r="T18" s="266" t="e">
        <f>IF(AND('Mapa final'!#REF!="Alta",'Mapa final'!#REF!="Menor"),CONCATENATE("R",'Mapa final'!#REF!),"")</f>
        <v>#REF!</v>
      </c>
      <c r="U18" s="244"/>
      <c r="V18" s="255" t="e">
        <f>IF(AND('Mapa final'!#REF!="Alta",'Mapa final'!#REF!="Moderado"),CONCATENATE("R",'Mapa final'!#REF!),"")</f>
        <v>#REF!</v>
      </c>
      <c r="W18" s="248"/>
      <c r="X18" s="243" t="e">
        <f>IF(AND('Mapa final'!#REF!="Alta",'Mapa final'!#REF!="Moderado"),CONCATENATE("R",'Mapa final'!#REF!),"")</f>
        <v>#REF!</v>
      </c>
      <c r="Y18" s="248"/>
      <c r="Z18" s="243" t="e">
        <f>IF(AND('Mapa final'!#REF!="Alta",'Mapa final'!#REF!="Moderado"),CONCATENATE("R",'Mapa final'!#REF!),"")</f>
        <v>#REF!</v>
      </c>
      <c r="AA18" s="244"/>
      <c r="AB18" s="255" t="e">
        <f>IF(AND('Mapa final'!#REF!="Alta",'Mapa final'!#REF!="Mayor"),CONCATENATE("R",'Mapa final'!#REF!),"")</f>
        <v>#REF!</v>
      </c>
      <c r="AC18" s="248"/>
      <c r="AD18" s="243" t="e">
        <f>IF(AND('Mapa final'!#REF!="Alta",'Mapa final'!#REF!="Mayor"),CONCATENATE("R",'Mapa final'!#REF!),"")</f>
        <v>#REF!</v>
      </c>
      <c r="AE18" s="248"/>
      <c r="AF18" s="243" t="e">
        <f>IF(AND('Mapa final'!#REF!="Alta",'Mapa final'!#REF!="Mayor"),CONCATENATE("R",'Mapa final'!#REF!),"")</f>
        <v>#REF!</v>
      </c>
      <c r="AG18" s="244"/>
      <c r="AH18" s="247" t="e">
        <f>IF(AND('Mapa final'!#REF!="Alta",'Mapa final'!#REF!="Catastrófico"),CONCATENATE("R",'Mapa final'!#REF!),"")</f>
        <v>#REF!</v>
      </c>
      <c r="AI18" s="248"/>
      <c r="AJ18" s="251" t="e">
        <f>IF(AND('Mapa final'!#REF!="Alta",'Mapa final'!#REF!="Catastrófico"),CONCATENATE("R",'Mapa final'!#REF!),"")</f>
        <v>#REF!</v>
      </c>
      <c r="AK18" s="248"/>
      <c r="AL18" s="251" t="e">
        <f>IF(AND('Mapa final'!#REF!="Alta",'Mapa final'!#REF!="Catastrófico"),CONCATENATE("R",'Mapa final'!#REF!),"")</f>
        <v>#REF!</v>
      </c>
      <c r="AM18" s="244"/>
      <c r="AN18" s="1"/>
      <c r="AO18" s="271"/>
      <c r="AP18" s="211"/>
      <c r="AQ18" s="211"/>
      <c r="AR18" s="211"/>
      <c r="AS18" s="211"/>
      <c r="AT18" s="272"/>
    </row>
    <row r="19" spans="2:46" ht="15" customHeight="1" x14ac:dyDescent="0.25">
      <c r="B19" s="288"/>
      <c r="C19" s="211"/>
      <c r="D19" s="212"/>
      <c r="E19" s="223"/>
      <c r="F19" s="211"/>
      <c r="G19" s="211"/>
      <c r="H19" s="211"/>
      <c r="I19" s="211"/>
      <c r="J19" s="249"/>
      <c r="K19" s="250"/>
      <c r="L19" s="245"/>
      <c r="M19" s="250"/>
      <c r="N19" s="245"/>
      <c r="O19" s="246"/>
      <c r="P19" s="249"/>
      <c r="Q19" s="250"/>
      <c r="R19" s="245"/>
      <c r="S19" s="250"/>
      <c r="T19" s="245"/>
      <c r="U19" s="246"/>
      <c r="V19" s="249"/>
      <c r="W19" s="250"/>
      <c r="X19" s="245"/>
      <c r="Y19" s="250"/>
      <c r="Z19" s="245"/>
      <c r="AA19" s="246"/>
      <c r="AB19" s="249"/>
      <c r="AC19" s="250"/>
      <c r="AD19" s="245"/>
      <c r="AE19" s="250"/>
      <c r="AF19" s="245"/>
      <c r="AG19" s="246"/>
      <c r="AH19" s="249"/>
      <c r="AI19" s="250"/>
      <c r="AJ19" s="245"/>
      <c r="AK19" s="250"/>
      <c r="AL19" s="245"/>
      <c r="AM19" s="246"/>
      <c r="AN19" s="1"/>
      <c r="AO19" s="271"/>
      <c r="AP19" s="211"/>
      <c r="AQ19" s="211"/>
      <c r="AR19" s="211"/>
      <c r="AS19" s="211"/>
      <c r="AT19" s="272"/>
    </row>
    <row r="20" spans="2:46" ht="15" customHeight="1" x14ac:dyDescent="0.25">
      <c r="B20" s="288"/>
      <c r="C20" s="211"/>
      <c r="D20" s="212"/>
      <c r="E20" s="223"/>
      <c r="F20" s="211"/>
      <c r="G20" s="211"/>
      <c r="H20" s="211"/>
      <c r="I20" s="211"/>
      <c r="J20" s="267" t="e">
        <f>IF(AND('Mapa final'!#REF!="Alta",'Mapa final'!#REF!="Leve"),CONCATENATE("R",'Mapa final'!#REF!),"")</f>
        <v>#REF!</v>
      </c>
      <c r="K20" s="248"/>
      <c r="L20" s="266" t="str">
        <f>IF(AND('Mapa final'!$H$46="Alta",'Mapa final'!$L$46="Leve"),CONCATENATE("R",'Mapa final'!$A$46),"")</f>
        <v/>
      </c>
      <c r="M20" s="248"/>
      <c r="N20" s="266" t="str">
        <f>IF(AND('Mapa final'!$H$52="Alta",'Mapa final'!$L$52="Leve"),CONCATENATE("R",'Mapa final'!$A$52),"")</f>
        <v/>
      </c>
      <c r="O20" s="244"/>
      <c r="P20" s="267" t="e">
        <f>IF(AND('Mapa final'!#REF!="Alta",'Mapa final'!#REF!="Menor"),CONCATENATE("R",'Mapa final'!#REF!),"")</f>
        <v>#REF!</v>
      </c>
      <c r="Q20" s="248"/>
      <c r="R20" s="266" t="str">
        <f>IF(AND('Mapa final'!$H$46="Alta",'Mapa final'!$L$46="Menor"),CONCATENATE("R",'Mapa final'!$A$46),"")</f>
        <v/>
      </c>
      <c r="S20" s="248"/>
      <c r="T20" s="266" t="str">
        <f>IF(AND('Mapa final'!$H$52="Alta",'Mapa final'!$L$52="Menor"),CONCATENATE("R",'Mapa final'!$A$52),"")</f>
        <v/>
      </c>
      <c r="U20" s="244"/>
      <c r="V20" s="255" t="e">
        <f>IF(AND('Mapa final'!#REF!="Alta",'Mapa final'!#REF!="Moderado"),CONCATENATE("R",'Mapa final'!#REF!),"")</f>
        <v>#REF!</v>
      </c>
      <c r="W20" s="248"/>
      <c r="X20" s="243" t="str">
        <f>IF(AND('Mapa final'!$H$46="Alta",'Mapa final'!$L$46="Moderado"),CONCATENATE("R",'Mapa final'!$A$46),"")</f>
        <v/>
      </c>
      <c r="Y20" s="248"/>
      <c r="Z20" s="243" t="str">
        <f>IF(AND('Mapa final'!$H$52="Alta",'Mapa final'!$L$52="Moderado"),CONCATENATE("R",'Mapa final'!$A$52),"")</f>
        <v/>
      </c>
      <c r="AA20" s="244"/>
      <c r="AB20" s="255" t="e">
        <f>IF(AND('Mapa final'!#REF!="Alta",'Mapa final'!#REF!="Mayor"),CONCATENATE("R",'Mapa final'!#REF!),"")</f>
        <v>#REF!</v>
      </c>
      <c r="AC20" s="248"/>
      <c r="AD20" s="243" t="str">
        <f>IF(AND('Mapa final'!$H$46="Alta",'Mapa final'!$L$46="Mayor"),CONCATENATE("R",'Mapa final'!$A$46),"")</f>
        <v/>
      </c>
      <c r="AE20" s="248"/>
      <c r="AF20" s="243" t="str">
        <f>IF(AND('Mapa final'!$H$52="Alta",'Mapa final'!$L$52="Mayor"),CONCATENATE("R",'Mapa final'!$A$52),"")</f>
        <v/>
      </c>
      <c r="AG20" s="244"/>
      <c r="AH20" s="247" t="e">
        <f>IF(AND('Mapa final'!#REF!="Alta",'Mapa final'!#REF!="Catastrófico"),CONCATENATE("R",'Mapa final'!#REF!),"")</f>
        <v>#REF!</v>
      </c>
      <c r="AI20" s="248"/>
      <c r="AJ20" s="251" t="str">
        <f>IF(AND('Mapa final'!$H$46="Alta",'Mapa final'!$L$46="Catastrófico"),CONCATENATE("R",'Mapa final'!$A$46),"")</f>
        <v/>
      </c>
      <c r="AK20" s="248"/>
      <c r="AL20" s="251" t="str">
        <f>IF(AND('Mapa final'!$H$52="Alta",'Mapa final'!$L$52="Catastrófico"),CONCATENATE("R",'Mapa final'!$A$52),"")</f>
        <v/>
      </c>
      <c r="AM20" s="244"/>
      <c r="AN20" s="1"/>
      <c r="AO20" s="271"/>
      <c r="AP20" s="211"/>
      <c r="AQ20" s="211"/>
      <c r="AR20" s="211"/>
      <c r="AS20" s="211"/>
      <c r="AT20" s="272"/>
    </row>
    <row r="21" spans="2:46" ht="15.75" customHeight="1" x14ac:dyDescent="0.25">
      <c r="B21" s="288"/>
      <c r="C21" s="211"/>
      <c r="D21" s="212"/>
      <c r="E21" s="257"/>
      <c r="F21" s="281"/>
      <c r="G21" s="281"/>
      <c r="H21" s="281"/>
      <c r="I21" s="281"/>
      <c r="J21" s="257"/>
      <c r="K21" s="258"/>
      <c r="L21" s="259"/>
      <c r="M21" s="258"/>
      <c r="N21" s="259"/>
      <c r="O21" s="260"/>
      <c r="P21" s="257"/>
      <c r="Q21" s="258"/>
      <c r="R21" s="259"/>
      <c r="S21" s="258"/>
      <c r="T21" s="259"/>
      <c r="U21" s="260"/>
      <c r="V21" s="257"/>
      <c r="W21" s="258"/>
      <c r="X21" s="259"/>
      <c r="Y21" s="258"/>
      <c r="Z21" s="259"/>
      <c r="AA21" s="260"/>
      <c r="AB21" s="257"/>
      <c r="AC21" s="258"/>
      <c r="AD21" s="259"/>
      <c r="AE21" s="258"/>
      <c r="AF21" s="259"/>
      <c r="AG21" s="260"/>
      <c r="AH21" s="257"/>
      <c r="AI21" s="258"/>
      <c r="AJ21" s="259"/>
      <c r="AK21" s="258"/>
      <c r="AL21" s="259"/>
      <c r="AM21" s="260"/>
      <c r="AN21" s="1"/>
      <c r="AO21" s="273"/>
      <c r="AP21" s="274"/>
      <c r="AQ21" s="274"/>
      <c r="AR21" s="274"/>
      <c r="AS21" s="274"/>
      <c r="AT21" s="275"/>
    </row>
    <row r="22" spans="2:46" ht="15.75" customHeight="1" x14ac:dyDescent="0.25">
      <c r="B22" s="288"/>
      <c r="C22" s="211"/>
      <c r="D22" s="212"/>
      <c r="E22" s="279" t="s">
        <v>99</v>
      </c>
      <c r="F22" s="280"/>
      <c r="G22" s="280"/>
      <c r="H22" s="280"/>
      <c r="I22" s="262"/>
      <c r="J22" s="263" t="str">
        <f>IF(AND('Mapa final'!$H$16="Media",'Mapa final'!$L$16="Leve"),CONCATENATE("R",'Mapa final'!$A$16),"")</f>
        <v/>
      </c>
      <c r="K22" s="253"/>
      <c r="L22" s="261" t="str">
        <f>IF(AND('Mapa final'!$H$21="Media",'Mapa final'!$L$21="Leve"),CONCATENATE("R",'Mapa final'!$A$21),"")</f>
        <v/>
      </c>
      <c r="M22" s="253"/>
      <c r="N22" s="261" t="str">
        <f>IF(AND('Mapa final'!$H$26="Media",'Mapa final'!$L$26="Leve"),CONCATENATE("R",'Mapa final'!$A$26),"")</f>
        <v>R3</v>
      </c>
      <c r="O22" s="262"/>
      <c r="P22" s="263" t="str">
        <f>IF(AND('Mapa final'!$H$16="Media",'Mapa final'!$L$16="Menor"),CONCATENATE("R",'Mapa final'!$A$16),"")</f>
        <v/>
      </c>
      <c r="Q22" s="253"/>
      <c r="R22" s="261" t="str">
        <f>IF(AND('Mapa final'!$H$21="Media",'Mapa final'!$L$21="Menor"),CONCATENATE("R",'Mapa final'!$A$21),"")</f>
        <v/>
      </c>
      <c r="S22" s="253"/>
      <c r="T22" s="261" t="str">
        <f>IF(AND('Mapa final'!$H$26="Media",'Mapa final'!$L$26="Menor"),CONCATENATE("R",'Mapa final'!$A$26),"")</f>
        <v/>
      </c>
      <c r="U22" s="262"/>
      <c r="V22" s="263" t="str">
        <f>IF(AND('Mapa final'!$H$16="Media",'Mapa final'!$L$16="Moderado"),CONCATENATE("R",'Mapa final'!$A$16),"")</f>
        <v/>
      </c>
      <c r="W22" s="253"/>
      <c r="X22" s="261" t="str">
        <f>IF(AND('Mapa final'!$H$21="Media",'Mapa final'!$L$21="Moderado"),CONCATENATE("R",'Mapa final'!$A$21),"")</f>
        <v>R2</v>
      </c>
      <c r="Y22" s="253"/>
      <c r="Z22" s="261" t="str">
        <f>IF(AND('Mapa final'!$H$26="Media",'Mapa final'!$L$26="Moderado"),CONCATENATE("R",'Mapa final'!$A$26),"")</f>
        <v/>
      </c>
      <c r="AA22" s="262"/>
      <c r="AB22" s="252" t="str">
        <f>IF(AND('Mapa final'!$H$16="Media",'Mapa final'!$L$16="Mayor"),CONCATENATE("R",'Mapa final'!$A$16),"")</f>
        <v>R1</v>
      </c>
      <c r="AC22" s="253"/>
      <c r="AD22" s="254" t="str">
        <f>IF(AND('Mapa final'!$H$21="Media",'Mapa final'!$L$21="Mayor"),CONCATENATE("R",'Mapa final'!$A$21),"")</f>
        <v/>
      </c>
      <c r="AE22" s="253"/>
      <c r="AF22" s="254" t="str">
        <f>IF(AND('Mapa final'!$H$26="Media",'Mapa final'!$L$26="Mayor"),CONCATENATE("R",'Mapa final'!$A$26),"")</f>
        <v/>
      </c>
      <c r="AG22" s="262"/>
      <c r="AH22" s="264" t="str">
        <f>IF(AND('Mapa final'!$H$16="Media",'Mapa final'!$L$16="Catastrófico"),CONCATENATE("R",'Mapa final'!$A$16),"")</f>
        <v/>
      </c>
      <c r="AI22" s="253"/>
      <c r="AJ22" s="256" t="str">
        <f>IF(AND('Mapa final'!$H$21="Media",'Mapa final'!$L$21="Catastrófico"),CONCATENATE("R",'Mapa final'!$A$21),"")</f>
        <v/>
      </c>
      <c r="AK22" s="253"/>
      <c r="AL22" s="256" t="str">
        <f>IF(AND('Mapa final'!$H$26="Media",'Mapa final'!$L$26="Catastrófico"),CONCATENATE("R",'Mapa final'!$A$26),"")</f>
        <v/>
      </c>
      <c r="AM22" s="262"/>
      <c r="AN22" s="1"/>
      <c r="AO22" s="277" t="s">
        <v>100</v>
      </c>
      <c r="AP22" s="269"/>
      <c r="AQ22" s="269"/>
      <c r="AR22" s="269"/>
      <c r="AS22" s="269"/>
      <c r="AT22" s="270"/>
    </row>
    <row r="23" spans="2:46" ht="15.75" customHeight="1" x14ac:dyDescent="0.25">
      <c r="B23" s="288"/>
      <c r="C23" s="211"/>
      <c r="D23" s="212"/>
      <c r="E23" s="223"/>
      <c r="F23" s="211"/>
      <c r="G23" s="211"/>
      <c r="H23" s="211"/>
      <c r="I23" s="212"/>
      <c r="J23" s="249"/>
      <c r="K23" s="250"/>
      <c r="L23" s="245"/>
      <c r="M23" s="250"/>
      <c r="N23" s="245"/>
      <c r="O23" s="246"/>
      <c r="P23" s="249"/>
      <c r="Q23" s="250"/>
      <c r="R23" s="245"/>
      <c r="S23" s="250"/>
      <c r="T23" s="245"/>
      <c r="U23" s="246"/>
      <c r="V23" s="249"/>
      <c r="W23" s="250"/>
      <c r="X23" s="245"/>
      <c r="Y23" s="250"/>
      <c r="Z23" s="245"/>
      <c r="AA23" s="246"/>
      <c r="AB23" s="249"/>
      <c r="AC23" s="250"/>
      <c r="AD23" s="245"/>
      <c r="AE23" s="250"/>
      <c r="AF23" s="245"/>
      <c r="AG23" s="246"/>
      <c r="AH23" s="249"/>
      <c r="AI23" s="250"/>
      <c r="AJ23" s="245"/>
      <c r="AK23" s="250"/>
      <c r="AL23" s="245"/>
      <c r="AM23" s="246"/>
      <c r="AN23" s="1"/>
      <c r="AO23" s="271"/>
      <c r="AP23" s="211"/>
      <c r="AQ23" s="211"/>
      <c r="AR23" s="211"/>
      <c r="AS23" s="211"/>
      <c r="AT23" s="272"/>
    </row>
    <row r="24" spans="2:46" ht="15.75" customHeight="1" x14ac:dyDescent="0.25">
      <c r="B24" s="288"/>
      <c r="C24" s="211"/>
      <c r="D24" s="212"/>
      <c r="E24" s="223"/>
      <c r="F24" s="211"/>
      <c r="G24" s="211"/>
      <c r="H24" s="211"/>
      <c r="I24" s="212"/>
      <c r="J24" s="267" t="str">
        <f>IF(AND('Mapa final'!$H$31="Media",'Mapa final'!$L$31="Leve"),CONCATENATE("R",'Mapa final'!$A$31),"")</f>
        <v/>
      </c>
      <c r="K24" s="248"/>
      <c r="L24" s="266" t="str">
        <f>IF(AND('Mapa final'!$H$36="Media",'Mapa final'!$L$36="Leve"),CONCATENATE("R",'Mapa final'!$A$36),"")</f>
        <v/>
      </c>
      <c r="M24" s="248"/>
      <c r="N24" s="266" t="str">
        <f>IF(AND('Mapa final'!$H$41="Media",'Mapa final'!$L$41="Leve"),CONCATENATE("R",'Mapa final'!$A$41),"")</f>
        <v/>
      </c>
      <c r="O24" s="244"/>
      <c r="P24" s="267" t="str">
        <f>IF(AND('Mapa final'!$H$31="Media",'Mapa final'!$L$31="Menor"),CONCATENATE("R",'Mapa final'!$A$31),"")</f>
        <v/>
      </c>
      <c r="Q24" s="248"/>
      <c r="R24" s="266" t="str">
        <f>IF(AND('Mapa final'!$H$36="Media",'Mapa final'!$L$36="Menor"),CONCATENATE("R",'Mapa final'!$A$36),"")</f>
        <v/>
      </c>
      <c r="S24" s="248"/>
      <c r="T24" s="266" t="str">
        <f>IF(AND('Mapa final'!$H$41="Media",'Mapa final'!$L$41="Menor"),CONCATENATE("R",'Mapa final'!$A$41),"")</f>
        <v/>
      </c>
      <c r="U24" s="244"/>
      <c r="V24" s="267" t="str">
        <f>IF(AND('Mapa final'!$H$31="Media",'Mapa final'!$L$31="Moderado"),CONCATENATE("R",'Mapa final'!$A$31),"")</f>
        <v/>
      </c>
      <c r="W24" s="248"/>
      <c r="X24" s="266" t="str">
        <f>IF(AND('Mapa final'!$H$36="Media",'Mapa final'!$L$36="Moderado"),CONCATENATE("R",'Mapa final'!$A$36),"")</f>
        <v/>
      </c>
      <c r="Y24" s="248"/>
      <c r="Z24" s="266" t="str">
        <f>IF(AND('Mapa final'!$H$41="Media",'Mapa final'!$L$41="Moderado"),CONCATENATE("R",'Mapa final'!$A$41),"")</f>
        <v/>
      </c>
      <c r="AA24" s="244"/>
      <c r="AB24" s="255" t="str">
        <f>IF(AND('Mapa final'!$H$31="Media",'Mapa final'!$L$31="Mayor"),CONCATENATE("R",'Mapa final'!$A$31),"")</f>
        <v/>
      </c>
      <c r="AC24" s="248"/>
      <c r="AD24" s="243" t="str">
        <f>IF(AND('Mapa final'!$H$36="Media",'Mapa final'!$L$36="Mayor"),CONCATENATE("R",'Mapa final'!$A$36),"")</f>
        <v/>
      </c>
      <c r="AE24" s="248"/>
      <c r="AF24" s="243" t="str">
        <f>IF(AND('Mapa final'!$H$41="Media",'Mapa final'!$L$41="Mayor"),CONCATENATE("R",'Mapa final'!$A$41),"")</f>
        <v/>
      </c>
      <c r="AG24" s="244"/>
      <c r="AH24" s="247" t="str">
        <f>IF(AND('Mapa final'!$H$31="Media",'Mapa final'!$L$31="Catastrófico"),CONCATENATE("R",'Mapa final'!$A$31),"")</f>
        <v/>
      </c>
      <c r="AI24" s="248"/>
      <c r="AJ24" s="251" t="str">
        <f>IF(AND('Mapa final'!$H$36="Media",'Mapa final'!$L$36="Catastrófico"),CONCATENATE("R",'Mapa final'!$A$36),"")</f>
        <v/>
      </c>
      <c r="AK24" s="248"/>
      <c r="AL24" s="251" t="str">
        <f>IF(AND('Mapa final'!$H$41="Media",'Mapa final'!$L$41="Catastrófico"),CONCATENATE("R",'Mapa final'!$A$41),"")</f>
        <v/>
      </c>
      <c r="AM24" s="244"/>
      <c r="AN24" s="1"/>
      <c r="AO24" s="271"/>
      <c r="AP24" s="211"/>
      <c r="AQ24" s="211"/>
      <c r="AR24" s="211"/>
      <c r="AS24" s="211"/>
      <c r="AT24" s="272"/>
    </row>
    <row r="25" spans="2:46" ht="15.75" customHeight="1" x14ac:dyDescent="0.25">
      <c r="B25" s="288"/>
      <c r="C25" s="211"/>
      <c r="D25" s="212"/>
      <c r="E25" s="223"/>
      <c r="F25" s="211"/>
      <c r="G25" s="211"/>
      <c r="H25" s="211"/>
      <c r="I25" s="212"/>
      <c r="J25" s="249"/>
      <c r="K25" s="250"/>
      <c r="L25" s="245"/>
      <c r="M25" s="250"/>
      <c r="N25" s="245"/>
      <c r="O25" s="246"/>
      <c r="P25" s="249"/>
      <c r="Q25" s="250"/>
      <c r="R25" s="245"/>
      <c r="S25" s="250"/>
      <c r="T25" s="245"/>
      <c r="U25" s="246"/>
      <c r="V25" s="249"/>
      <c r="W25" s="250"/>
      <c r="X25" s="245"/>
      <c r="Y25" s="250"/>
      <c r="Z25" s="245"/>
      <c r="AA25" s="246"/>
      <c r="AB25" s="249"/>
      <c r="AC25" s="250"/>
      <c r="AD25" s="245"/>
      <c r="AE25" s="250"/>
      <c r="AF25" s="245"/>
      <c r="AG25" s="246"/>
      <c r="AH25" s="249"/>
      <c r="AI25" s="250"/>
      <c r="AJ25" s="245"/>
      <c r="AK25" s="250"/>
      <c r="AL25" s="245"/>
      <c r="AM25" s="246"/>
      <c r="AN25" s="1"/>
      <c r="AO25" s="271"/>
      <c r="AP25" s="211"/>
      <c r="AQ25" s="211"/>
      <c r="AR25" s="211"/>
      <c r="AS25" s="211"/>
      <c r="AT25" s="272"/>
    </row>
    <row r="26" spans="2:46" ht="15.75" customHeight="1" x14ac:dyDescent="0.25">
      <c r="B26" s="288"/>
      <c r="C26" s="211"/>
      <c r="D26" s="212"/>
      <c r="E26" s="223"/>
      <c r="F26" s="211"/>
      <c r="G26" s="211"/>
      <c r="H26" s="211"/>
      <c r="I26" s="212"/>
      <c r="J26" s="267" t="e">
        <f>IF(AND('Mapa final'!#REF!="Media",'Mapa final'!#REF!="Leve"),CONCATENATE("R",'Mapa final'!#REF!),"")</f>
        <v>#REF!</v>
      </c>
      <c r="K26" s="248"/>
      <c r="L26" s="266" t="e">
        <f>IF(AND('Mapa final'!#REF!="Media",'Mapa final'!#REF!="Leve"),CONCATENATE("R",'Mapa final'!#REF!),"")</f>
        <v>#REF!</v>
      </c>
      <c r="M26" s="248"/>
      <c r="N26" s="266" t="e">
        <f>IF(AND('Mapa final'!#REF!="Media",'Mapa final'!#REF!="Leve"),CONCATENATE("R",'Mapa final'!#REF!),"")</f>
        <v>#REF!</v>
      </c>
      <c r="O26" s="244"/>
      <c r="P26" s="267" t="e">
        <f>IF(AND('Mapa final'!#REF!="Media",'Mapa final'!#REF!="Menor"),CONCATENATE("R",'Mapa final'!#REF!),"")</f>
        <v>#REF!</v>
      </c>
      <c r="Q26" s="248"/>
      <c r="R26" s="266" t="e">
        <f>IF(AND('Mapa final'!#REF!="Media",'Mapa final'!#REF!="Menor"),CONCATENATE("R",'Mapa final'!#REF!),"")</f>
        <v>#REF!</v>
      </c>
      <c r="S26" s="248"/>
      <c r="T26" s="266" t="e">
        <f>IF(AND('Mapa final'!#REF!="Media",'Mapa final'!#REF!="Menor"),CONCATENATE("R",'Mapa final'!#REF!),"")</f>
        <v>#REF!</v>
      </c>
      <c r="U26" s="244"/>
      <c r="V26" s="267" t="e">
        <f>IF(AND('Mapa final'!#REF!="Media",'Mapa final'!#REF!="Moderado"),CONCATENATE("R",'Mapa final'!#REF!),"")</f>
        <v>#REF!</v>
      </c>
      <c r="W26" s="248"/>
      <c r="X26" s="266" t="e">
        <f>IF(AND('Mapa final'!#REF!="Media",'Mapa final'!#REF!="Moderado"),CONCATENATE("R",'Mapa final'!#REF!),"")</f>
        <v>#REF!</v>
      </c>
      <c r="Y26" s="248"/>
      <c r="Z26" s="266" t="e">
        <f>IF(AND('Mapa final'!#REF!="Media",'Mapa final'!#REF!="Moderado"),CONCATENATE("R",'Mapa final'!#REF!),"")</f>
        <v>#REF!</v>
      </c>
      <c r="AA26" s="244"/>
      <c r="AB26" s="255" t="e">
        <f>IF(AND('Mapa final'!#REF!="Media",'Mapa final'!#REF!="Mayor"),CONCATENATE("R",'Mapa final'!#REF!),"")</f>
        <v>#REF!</v>
      </c>
      <c r="AC26" s="248"/>
      <c r="AD26" s="243" t="e">
        <f>IF(AND('Mapa final'!#REF!="Media",'Mapa final'!#REF!="Mayor"),CONCATENATE("R",'Mapa final'!#REF!),"")</f>
        <v>#REF!</v>
      </c>
      <c r="AE26" s="248"/>
      <c r="AF26" s="243" t="e">
        <f>IF(AND('Mapa final'!#REF!="Media",'Mapa final'!#REF!="Mayor"),CONCATENATE("R",'Mapa final'!#REF!),"")</f>
        <v>#REF!</v>
      </c>
      <c r="AG26" s="244"/>
      <c r="AH26" s="247" t="e">
        <f>IF(AND('Mapa final'!#REF!="Media",'Mapa final'!#REF!="Catastrófico"),CONCATENATE("R",'Mapa final'!#REF!),"")</f>
        <v>#REF!</v>
      </c>
      <c r="AI26" s="248"/>
      <c r="AJ26" s="251" t="e">
        <f>IF(AND('Mapa final'!#REF!="Media",'Mapa final'!#REF!="Catastrófico"),CONCATENATE("R",'Mapa final'!#REF!),"")</f>
        <v>#REF!</v>
      </c>
      <c r="AK26" s="248"/>
      <c r="AL26" s="251" t="e">
        <f>IF(AND('Mapa final'!#REF!="Media",'Mapa final'!#REF!="Catastrófico"),CONCATENATE("R",'Mapa final'!#REF!),"")</f>
        <v>#REF!</v>
      </c>
      <c r="AM26" s="244"/>
      <c r="AN26" s="1"/>
      <c r="AO26" s="271"/>
      <c r="AP26" s="211"/>
      <c r="AQ26" s="211"/>
      <c r="AR26" s="211"/>
      <c r="AS26" s="211"/>
      <c r="AT26" s="272"/>
    </row>
    <row r="27" spans="2:46" ht="15.75" customHeight="1" x14ac:dyDescent="0.25">
      <c r="B27" s="288"/>
      <c r="C27" s="211"/>
      <c r="D27" s="212"/>
      <c r="E27" s="223"/>
      <c r="F27" s="211"/>
      <c r="G27" s="211"/>
      <c r="H27" s="211"/>
      <c r="I27" s="212"/>
      <c r="J27" s="249"/>
      <c r="K27" s="250"/>
      <c r="L27" s="245"/>
      <c r="M27" s="250"/>
      <c r="N27" s="245"/>
      <c r="O27" s="246"/>
      <c r="P27" s="249"/>
      <c r="Q27" s="250"/>
      <c r="R27" s="245"/>
      <c r="S27" s="250"/>
      <c r="T27" s="245"/>
      <c r="U27" s="246"/>
      <c r="V27" s="249"/>
      <c r="W27" s="250"/>
      <c r="X27" s="245"/>
      <c r="Y27" s="250"/>
      <c r="Z27" s="245"/>
      <c r="AA27" s="246"/>
      <c r="AB27" s="249"/>
      <c r="AC27" s="250"/>
      <c r="AD27" s="245"/>
      <c r="AE27" s="250"/>
      <c r="AF27" s="245"/>
      <c r="AG27" s="246"/>
      <c r="AH27" s="249"/>
      <c r="AI27" s="250"/>
      <c r="AJ27" s="245"/>
      <c r="AK27" s="250"/>
      <c r="AL27" s="245"/>
      <c r="AM27" s="246"/>
      <c r="AN27" s="1"/>
      <c r="AO27" s="271"/>
      <c r="AP27" s="211"/>
      <c r="AQ27" s="211"/>
      <c r="AR27" s="211"/>
      <c r="AS27" s="211"/>
      <c r="AT27" s="272"/>
    </row>
    <row r="28" spans="2:46" ht="15.75" customHeight="1" x14ac:dyDescent="0.25">
      <c r="B28" s="288"/>
      <c r="C28" s="211"/>
      <c r="D28" s="212"/>
      <c r="E28" s="223"/>
      <c r="F28" s="211"/>
      <c r="G28" s="211"/>
      <c r="H28" s="211"/>
      <c r="I28" s="212"/>
      <c r="J28" s="267" t="e">
        <f>IF(AND('Mapa final'!#REF!="Media",'Mapa final'!#REF!="Leve"),CONCATENATE("R",'Mapa final'!#REF!),"")</f>
        <v>#REF!</v>
      </c>
      <c r="K28" s="248"/>
      <c r="L28" s="266" t="str">
        <f>IF(AND('Mapa final'!$H$46="Media",'Mapa final'!$L$46="Leve"),CONCATENATE("R",'Mapa final'!$A$46),"")</f>
        <v/>
      </c>
      <c r="M28" s="248"/>
      <c r="N28" s="266" t="str">
        <f>IF(AND('Mapa final'!$H$52="Media",'Mapa final'!$L$52="Leve"),CONCATENATE("R",'Mapa final'!$A$52),"")</f>
        <v/>
      </c>
      <c r="O28" s="244"/>
      <c r="P28" s="267" t="e">
        <f>IF(AND('Mapa final'!#REF!="Media",'Mapa final'!#REF!="Menor"),CONCATENATE("R",'Mapa final'!#REF!),"")</f>
        <v>#REF!</v>
      </c>
      <c r="Q28" s="248"/>
      <c r="R28" s="266" t="str">
        <f>IF(AND('Mapa final'!$H$46="Media",'Mapa final'!$L$46="Menor"),CONCATENATE("R",'Mapa final'!$A$46),"")</f>
        <v/>
      </c>
      <c r="S28" s="248"/>
      <c r="T28" s="266" t="str">
        <f>IF(AND('Mapa final'!$H$52="Media",'Mapa final'!$L$52="Menor"),CONCATENATE("R",'Mapa final'!$A$52),"")</f>
        <v/>
      </c>
      <c r="U28" s="244"/>
      <c r="V28" s="267" t="e">
        <f>IF(AND('Mapa final'!#REF!="Media",'Mapa final'!#REF!="Moderado"),CONCATENATE("R",'Mapa final'!#REF!),"")</f>
        <v>#REF!</v>
      </c>
      <c r="W28" s="248"/>
      <c r="X28" s="266" t="str">
        <f>IF(AND('Mapa final'!$H$46="Media",'Mapa final'!$L$46="Moderado"),CONCATENATE("R",'Mapa final'!$A$46),"")</f>
        <v/>
      </c>
      <c r="Y28" s="248"/>
      <c r="Z28" s="266" t="str">
        <f>IF(AND('Mapa final'!$H$52="Media",'Mapa final'!$L$52="Moderado"),CONCATENATE("R",'Mapa final'!$A$52),"")</f>
        <v/>
      </c>
      <c r="AA28" s="244"/>
      <c r="AB28" s="255" t="e">
        <f>IF(AND('Mapa final'!#REF!="Media",'Mapa final'!#REF!="Mayor"),CONCATENATE("R",'Mapa final'!#REF!),"")</f>
        <v>#REF!</v>
      </c>
      <c r="AC28" s="248"/>
      <c r="AD28" s="243" t="str">
        <f>IF(AND('Mapa final'!$H$46="Media",'Mapa final'!$L$46="Mayor"),CONCATENATE("R",'Mapa final'!$A$46),"")</f>
        <v/>
      </c>
      <c r="AE28" s="248"/>
      <c r="AF28" s="243" t="str">
        <f>IF(AND('Mapa final'!$H$52="Media",'Mapa final'!$L$52="Mayor"),CONCATENATE("R",'Mapa final'!$A$52),"")</f>
        <v/>
      </c>
      <c r="AG28" s="244"/>
      <c r="AH28" s="247" t="e">
        <f>IF(AND('Mapa final'!#REF!="Media",'Mapa final'!#REF!="Catastrófico"),CONCATENATE("R",'Mapa final'!#REF!),"")</f>
        <v>#REF!</v>
      </c>
      <c r="AI28" s="248"/>
      <c r="AJ28" s="251" t="str">
        <f>IF(AND('Mapa final'!$H$46="Media",'Mapa final'!$L$46="Catastrófico"),CONCATENATE("R",'Mapa final'!$A$46),"")</f>
        <v/>
      </c>
      <c r="AK28" s="248"/>
      <c r="AL28" s="251" t="str">
        <f>IF(AND('Mapa final'!$H$52="Media",'Mapa final'!$L$52="Catastrófico"),CONCATENATE("R",'Mapa final'!$A$52),"")</f>
        <v/>
      </c>
      <c r="AM28" s="244"/>
      <c r="AN28" s="1"/>
      <c r="AO28" s="271"/>
      <c r="AP28" s="211"/>
      <c r="AQ28" s="211"/>
      <c r="AR28" s="211"/>
      <c r="AS28" s="211"/>
      <c r="AT28" s="272"/>
    </row>
    <row r="29" spans="2:46" ht="15.75" customHeight="1" x14ac:dyDescent="0.25">
      <c r="B29" s="288"/>
      <c r="C29" s="211"/>
      <c r="D29" s="212"/>
      <c r="E29" s="257"/>
      <c r="F29" s="281"/>
      <c r="G29" s="281"/>
      <c r="H29" s="281"/>
      <c r="I29" s="260"/>
      <c r="J29" s="249"/>
      <c r="K29" s="250"/>
      <c r="L29" s="245"/>
      <c r="M29" s="250"/>
      <c r="N29" s="245"/>
      <c r="O29" s="246"/>
      <c r="P29" s="257"/>
      <c r="Q29" s="258"/>
      <c r="R29" s="259"/>
      <c r="S29" s="258"/>
      <c r="T29" s="259"/>
      <c r="U29" s="260"/>
      <c r="V29" s="257"/>
      <c r="W29" s="258"/>
      <c r="X29" s="259"/>
      <c r="Y29" s="258"/>
      <c r="Z29" s="259"/>
      <c r="AA29" s="260"/>
      <c r="AB29" s="257"/>
      <c r="AC29" s="258"/>
      <c r="AD29" s="259"/>
      <c r="AE29" s="258"/>
      <c r="AF29" s="259"/>
      <c r="AG29" s="260"/>
      <c r="AH29" s="257"/>
      <c r="AI29" s="258"/>
      <c r="AJ29" s="259"/>
      <c r="AK29" s="258"/>
      <c r="AL29" s="259"/>
      <c r="AM29" s="260"/>
      <c r="AN29" s="1"/>
      <c r="AO29" s="273"/>
      <c r="AP29" s="274"/>
      <c r="AQ29" s="274"/>
      <c r="AR29" s="274"/>
      <c r="AS29" s="274"/>
      <c r="AT29" s="275"/>
    </row>
    <row r="30" spans="2:46" ht="15.75" customHeight="1" x14ac:dyDescent="0.25">
      <c r="B30" s="288"/>
      <c r="C30" s="211"/>
      <c r="D30" s="212"/>
      <c r="E30" s="279" t="s">
        <v>101</v>
      </c>
      <c r="F30" s="280"/>
      <c r="G30" s="280"/>
      <c r="H30" s="280"/>
      <c r="I30" s="280"/>
      <c r="J30" s="282" t="str">
        <f>IF(AND('Mapa final'!$H$16="Baja",'Mapa final'!$L$16="Leve"),CONCATENATE("R",'Mapa final'!$A$16),"")</f>
        <v/>
      </c>
      <c r="K30" s="253"/>
      <c r="L30" s="284" t="str">
        <f>IF(AND('Mapa final'!$H$21="Baja",'Mapa final'!$L$21="Leve"),CONCATENATE("R",'Mapa final'!$A$21),"")</f>
        <v/>
      </c>
      <c r="M30" s="253"/>
      <c r="N30" s="284" t="str">
        <f>IF(AND('Mapa final'!$H$26="Baja",'Mapa final'!$L$26="Leve"),CONCATENATE("R",'Mapa final'!$A$26),"")</f>
        <v/>
      </c>
      <c r="O30" s="262"/>
      <c r="P30" s="261" t="str">
        <f>IF(AND('Mapa final'!$H$16="Baja",'Mapa final'!$L$16="Menor"),CONCATENATE("R",'Mapa final'!$A$16),"")</f>
        <v/>
      </c>
      <c r="Q30" s="253"/>
      <c r="R30" s="261" t="str">
        <f>IF(AND('Mapa final'!$H$21="Baja",'Mapa final'!$L$21="Menor"),CONCATENATE("R",'Mapa final'!$A$21),"")</f>
        <v/>
      </c>
      <c r="S30" s="253"/>
      <c r="T30" s="261" t="str">
        <f>IF(AND('Mapa final'!$H$26="Baja",'Mapa final'!$L$26="Menor"),CONCATENATE("R",'Mapa final'!$A$26),"")</f>
        <v/>
      </c>
      <c r="U30" s="262"/>
      <c r="V30" s="263" t="str">
        <f>IF(AND('Mapa final'!$H$16="Baja",'Mapa final'!$L$16="Moderado"),CONCATENATE("R",'Mapa final'!$A$16),"")</f>
        <v/>
      </c>
      <c r="W30" s="253"/>
      <c r="X30" s="261" t="str">
        <f>IF(AND('Mapa final'!$H$21="Baja",'Mapa final'!$L$21="Moderado"),CONCATENATE("R",'Mapa final'!$A$21),"")</f>
        <v/>
      </c>
      <c r="Y30" s="253"/>
      <c r="Z30" s="261" t="str">
        <f>IF(AND('Mapa final'!$H$26="Baja",'Mapa final'!$L$26="Moderado"),CONCATENATE("R",'Mapa final'!$A$26),"")</f>
        <v/>
      </c>
      <c r="AA30" s="262"/>
      <c r="AB30" s="252" t="str">
        <f>IF(AND('Mapa final'!$H$16="Baja",'Mapa final'!$L$16="Mayor"),CONCATENATE("R",'Mapa final'!$A$16),"")</f>
        <v/>
      </c>
      <c r="AC30" s="253"/>
      <c r="AD30" s="254" t="str">
        <f>IF(AND('Mapa final'!$H$21="Baja",'Mapa final'!$L$21="Mayor"),CONCATENATE("R",'Mapa final'!$A$21),"")</f>
        <v/>
      </c>
      <c r="AE30" s="253"/>
      <c r="AF30" s="254" t="str">
        <f>IF(AND('Mapa final'!$H$26="Baja",'Mapa final'!$L$26="Mayor"),CONCATENATE("R",'Mapa final'!$A$26),"")</f>
        <v/>
      </c>
      <c r="AG30" s="262"/>
      <c r="AH30" s="264" t="str">
        <f>IF(AND('Mapa final'!$H$16="Baja",'Mapa final'!$L$16="Catastrófico"),CONCATENATE("R",'Mapa final'!$A$16),"")</f>
        <v/>
      </c>
      <c r="AI30" s="253"/>
      <c r="AJ30" s="256" t="str">
        <f>IF(AND('Mapa final'!$H$21="Baja",'Mapa final'!$L$21="Catastrófico"),CONCATENATE("R",'Mapa final'!$A$21),"")</f>
        <v/>
      </c>
      <c r="AK30" s="253"/>
      <c r="AL30" s="256" t="str">
        <f>IF(AND('Mapa final'!$H$26="Baja",'Mapa final'!$L$26="Catastrófico"),CONCATENATE("R",'Mapa final'!$A$26),"")</f>
        <v/>
      </c>
      <c r="AM30" s="262"/>
      <c r="AN30" s="1"/>
      <c r="AO30" s="268" t="s">
        <v>102</v>
      </c>
      <c r="AP30" s="269"/>
      <c r="AQ30" s="269"/>
      <c r="AR30" s="269"/>
      <c r="AS30" s="269"/>
      <c r="AT30" s="270"/>
    </row>
    <row r="31" spans="2:46" ht="15.75" customHeight="1" x14ac:dyDescent="0.25">
      <c r="B31" s="288"/>
      <c r="C31" s="211"/>
      <c r="D31" s="212"/>
      <c r="E31" s="223"/>
      <c r="F31" s="211"/>
      <c r="G31" s="211"/>
      <c r="H31" s="211"/>
      <c r="I31" s="211"/>
      <c r="J31" s="249"/>
      <c r="K31" s="250"/>
      <c r="L31" s="245"/>
      <c r="M31" s="250"/>
      <c r="N31" s="245"/>
      <c r="O31" s="246"/>
      <c r="P31" s="245"/>
      <c r="Q31" s="250"/>
      <c r="R31" s="245"/>
      <c r="S31" s="250"/>
      <c r="T31" s="245"/>
      <c r="U31" s="246"/>
      <c r="V31" s="249"/>
      <c r="W31" s="250"/>
      <c r="X31" s="245"/>
      <c r="Y31" s="250"/>
      <c r="Z31" s="245"/>
      <c r="AA31" s="246"/>
      <c r="AB31" s="249"/>
      <c r="AC31" s="250"/>
      <c r="AD31" s="245"/>
      <c r="AE31" s="250"/>
      <c r="AF31" s="245"/>
      <c r="AG31" s="246"/>
      <c r="AH31" s="249"/>
      <c r="AI31" s="250"/>
      <c r="AJ31" s="245"/>
      <c r="AK31" s="250"/>
      <c r="AL31" s="245"/>
      <c r="AM31" s="246"/>
      <c r="AN31" s="1"/>
      <c r="AO31" s="271"/>
      <c r="AP31" s="211"/>
      <c r="AQ31" s="211"/>
      <c r="AR31" s="211"/>
      <c r="AS31" s="211"/>
      <c r="AT31" s="272"/>
    </row>
    <row r="32" spans="2:46" ht="15.75" customHeight="1" x14ac:dyDescent="0.25">
      <c r="B32" s="288"/>
      <c r="C32" s="211"/>
      <c r="D32" s="212"/>
      <c r="E32" s="223"/>
      <c r="F32" s="211"/>
      <c r="G32" s="211"/>
      <c r="H32" s="211"/>
      <c r="I32" s="211"/>
      <c r="J32" s="283" t="str">
        <f>IF(AND('Mapa final'!$H$31="Baja",'Mapa final'!$L$31="Leve"),CONCATENATE("R",'Mapa final'!$A$31),"")</f>
        <v/>
      </c>
      <c r="K32" s="248"/>
      <c r="L32" s="265" t="str">
        <f>IF(AND('Mapa final'!$H$36="Baja",'Mapa final'!$L$36="Leve"),CONCATENATE("R",'Mapa final'!$A$36),"")</f>
        <v/>
      </c>
      <c r="M32" s="248"/>
      <c r="N32" s="265" t="str">
        <f>IF(AND('Mapa final'!$H$41="Baja",'Mapa final'!$L$41="Leve"),CONCATENATE("R",'Mapa final'!$A$41),"")</f>
        <v/>
      </c>
      <c r="O32" s="244"/>
      <c r="P32" s="266" t="str">
        <f>IF(AND('Mapa final'!$H$31="Baja",'Mapa final'!$L$31="Menor"),CONCATENATE("R",'Mapa final'!$A$31),"")</f>
        <v/>
      </c>
      <c r="Q32" s="248"/>
      <c r="R32" s="266" t="str">
        <f>IF(AND('Mapa final'!$H$36="Baja",'Mapa final'!$L$36="Menor"),CONCATENATE("R",'Mapa final'!$A$36),"")</f>
        <v/>
      </c>
      <c r="S32" s="248"/>
      <c r="T32" s="266" t="str">
        <f>IF(AND('Mapa final'!$H$41="Baja",'Mapa final'!$L$41="Menor"),CONCATENATE("R",'Mapa final'!$A$41),"")</f>
        <v/>
      </c>
      <c r="U32" s="244"/>
      <c r="V32" s="267" t="str">
        <f>IF(AND('Mapa final'!$H$31="Baja",'Mapa final'!$L$31="Moderado"),CONCATENATE("R",'Mapa final'!$A$31),"")</f>
        <v/>
      </c>
      <c r="W32" s="248"/>
      <c r="X32" s="266" t="str">
        <f>IF(AND('Mapa final'!$H$36="Baja",'Mapa final'!$L$36="Moderado"),CONCATENATE("R",'Mapa final'!$A$36),"")</f>
        <v/>
      </c>
      <c r="Y32" s="248"/>
      <c r="Z32" s="266" t="str">
        <f>IF(AND('Mapa final'!$H$41="Baja",'Mapa final'!$L$41="Moderado"),CONCATENATE("R",'Mapa final'!$A$41),"")</f>
        <v/>
      </c>
      <c r="AA32" s="244"/>
      <c r="AB32" s="255" t="str">
        <f>IF(AND('Mapa final'!$H$31="Baja",'Mapa final'!$L$31="Mayor"),CONCATENATE("R",'Mapa final'!$A$31),"")</f>
        <v/>
      </c>
      <c r="AC32" s="248"/>
      <c r="AD32" s="243" t="str">
        <f>IF(AND('Mapa final'!$H$36="Baja",'Mapa final'!$L$36="Mayor"),CONCATENATE("R",'Mapa final'!$A$36),"")</f>
        <v/>
      </c>
      <c r="AE32" s="248"/>
      <c r="AF32" s="243" t="str">
        <f>IF(AND('Mapa final'!$H$41="Baja",'Mapa final'!$L$41="Mayor"),CONCATENATE("R",'Mapa final'!$A$41),"")</f>
        <v/>
      </c>
      <c r="AG32" s="244"/>
      <c r="AH32" s="247" t="str">
        <f>IF(AND('Mapa final'!$H$31="Baja",'Mapa final'!$L$31="Catastrófico"),CONCATENATE("R",'Mapa final'!$A$31),"")</f>
        <v/>
      </c>
      <c r="AI32" s="248"/>
      <c r="AJ32" s="251" t="str">
        <f>IF(AND('Mapa final'!$H$36="Baja",'Mapa final'!$L$36="Catastrófico"),CONCATENATE("R",'Mapa final'!$A$36),"")</f>
        <v/>
      </c>
      <c r="AK32" s="248"/>
      <c r="AL32" s="251" t="str">
        <f>IF(AND('Mapa final'!$H$41="Baja",'Mapa final'!$L$41="Catastrófico"),CONCATENATE("R",'Mapa final'!$A$41),"")</f>
        <v/>
      </c>
      <c r="AM32" s="244"/>
      <c r="AN32" s="1"/>
      <c r="AO32" s="271"/>
      <c r="AP32" s="211"/>
      <c r="AQ32" s="211"/>
      <c r="AR32" s="211"/>
      <c r="AS32" s="211"/>
      <c r="AT32" s="272"/>
    </row>
    <row r="33" spans="2:46" ht="15.75" customHeight="1" x14ac:dyDescent="0.25">
      <c r="B33" s="288"/>
      <c r="C33" s="211"/>
      <c r="D33" s="212"/>
      <c r="E33" s="223"/>
      <c r="F33" s="211"/>
      <c r="G33" s="211"/>
      <c r="H33" s="211"/>
      <c r="I33" s="211"/>
      <c r="J33" s="249"/>
      <c r="K33" s="250"/>
      <c r="L33" s="245"/>
      <c r="M33" s="250"/>
      <c r="N33" s="245"/>
      <c r="O33" s="246"/>
      <c r="P33" s="245"/>
      <c r="Q33" s="250"/>
      <c r="R33" s="245"/>
      <c r="S33" s="250"/>
      <c r="T33" s="245"/>
      <c r="U33" s="246"/>
      <c r="V33" s="249"/>
      <c r="W33" s="250"/>
      <c r="X33" s="245"/>
      <c r="Y33" s="250"/>
      <c r="Z33" s="245"/>
      <c r="AA33" s="246"/>
      <c r="AB33" s="249"/>
      <c r="AC33" s="250"/>
      <c r="AD33" s="245"/>
      <c r="AE33" s="250"/>
      <c r="AF33" s="245"/>
      <c r="AG33" s="246"/>
      <c r="AH33" s="249"/>
      <c r="AI33" s="250"/>
      <c r="AJ33" s="245"/>
      <c r="AK33" s="250"/>
      <c r="AL33" s="245"/>
      <c r="AM33" s="246"/>
      <c r="AN33" s="1"/>
      <c r="AO33" s="271"/>
      <c r="AP33" s="211"/>
      <c r="AQ33" s="211"/>
      <c r="AR33" s="211"/>
      <c r="AS33" s="211"/>
      <c r="AT33" s="272"/>
    </row>
    <row r="34" spans="2:46" ht="15.75" customHeight="1" x14ac:dyDescent="0.25">
      <c r="B34" s="288"/>
      <c r="C34" s="211"/>
      <c r="D34" s="212"/>
      <c r="E34" s="223"/>
      <c r="F34" s="211"/>
      <c r="G34" s="211"/>
      <c r="H34" s="211"/>
      <c r="I34" s="211"/>
      <c r="J34" s="283" t="e">
        <f>IF(AND('Mapa final'!#REF!="Baja",'Mapa final'!#REF!="Leve"),CONCATENATE("R",'Mapa final'!#REF!),"")</f>
        <v>#REF!</v>
      </c>
      <c r="K34" s="248"/>
      <c r="L34" s="265" t="e">
        <f>IF(AND('Mapa final'!#REF!="Baja",'Mapa final'!#REF!="Leve"),CONCATENATE("R",'Mapa final'!#REF!),"")</f>
        <v>#REF!</v>
      </c>
      <c r="M34" s="248"/>
      <c r="N34" s="265" t="e">
        <f>IF(AND('Mapa final'!#REF!="Baja",'Mapa final'!#REF!="Leve"),CONCATENATE("R",'Mapa final'!#REF!),"")</f>
        <v>#REF!</v>
      </c>
      <c r="O34" s="244"/>
      <c r="P34" s="266" t="e">
        <f>IF(AND('Mapa final'!#REF!="Baja",'Mapa final'!#REF!="Menor"),CONCATENATE("R",'Mapa final'!#REF!),"")</f>
        <v>#REF!</v>
      </c>
      <c r="Q34" s="248"/>
      <c r="R34" s="266" t="e">
        <f>IF(AND('Mapa final'!#REF!="Baja",'Mapa final'!#REF!="Menor"),CONCATENATE("R",'Mapa final'!#REF!),"")</f>
        <v>#REF!</v>
      </c>
      <c r="S34" s="248"/>
      <c r="T34" s="266" t="e">
        <f>IF(AND('Mapa final'!#REF!="Baja",'Mapa final'!#REF!="Menor"),CONCATENATE("R",'Mapa final'!#REF!),"")</f>
        <v>#REF!</v>
      </c>
      <c r="U34" s="244"/>
      <c r="V34" s="267" t="e">
        <f>IF(AND('Mapa final'!#REF!="Baja",'Mapa final'!#REF!="Moderado"),CONCATENATE("R",'Mapa final'!#REF!),"")</f>
        <v>#REF!</v>
      </c>
      <c r="W34" s="248"/>
      <c r="X34" s="266" t="e">
        <f>IF(AND('Mapa final'!#REF!="Baja",'Mapa final'!#REF!="Moderado"),CONCATENATE("R",'Mapa final'!#REF!),"")</f>
        <v>#REF!</v>
      </c>
      <c r="Y34" s="248"/>
      <c r="Z34" s="266" t="e">
        <f>IF(AND('Mapa final'!#REF!="Baja",'Mapa final'!#REF!="Moderado"),CONCATENATE("R",'Mapa final'!#REF!),"")</f>
        <v>#REF!</v>
      </c>
      <c r="AA34" s="244"/>
      <c r="AB34" s="255" t="e">
        <f>IF(AND('Mapa final'!#REF!="Baja",'Mapa final'!#REF!="Mayor"),CONCATENATE("R",'Mapa final'!#REF!),"")</f>
        <v>#REF!</v>
      </c>
      <c r="AC34" s="248"/>
      <c r="AD34" s="243" t="e">
        <f>IF(AND('Mapa final'!#REF!="Baja",'Mapa final'!#REF!="Mayor"),CONCATENATE("R",'Mapa final'!#REF!),"")</f>
        <v>#REF!</v>
      </c>
      <c r="AE34" s="248"/>
      <c r="AF34" s="243" t="e">
        <f>IF(AND('Mapa final'!#REF!="Baja",'Mapa final'!#REF!="Mayor"),CONCATENATE("R",'Mapa final'!#REF!),"")</f>
        <v>#REF!</v>
      </c>
      <c r="AG34" s="244"/>
      <c r="AH34" s="247" t="e">
        <f>IF(AND('Mapa final'!#REF!="Baja",'Mapa final'!#REF!="Catastrófico"),CONCATENATE("R",'Mapa final'!#REF!),"")</f>
        <v>#REF!</v>
      </c>
      <c r="AI34" s="248"/>
      <c r="AJ34" s="251" t="e">
        <f>IF(AND('Mapa final'!#REF!="Baja",'Mapa final'!#REF!="Catastrófico"),CONCATENATE("R",'Mapa final'!#REF!),"")</f>
        <v>#REF!</v>
      </c>
      <c r="AK34" s="248"/>
      <c r="AL34" s="251" t="e">
        <f>IF(AND('Mapa final'!#REF!="Baja",'Mapa final'!#REF!="Catastrófico"),CONCATENATE("R",'Mapa final'!#REF!),"")</f>
        <v>#REF!</v>
      </c>
      <c r="AM34" s="244"/>
      <c r="AN34" s="1"/>
      <c r="AO34" s="271"/>
      <c r="AP34" s="211"/>
      <c r="AQ34" s="211"/>
      <c r="AR34" s="211"/>
      <c r="AS34" s="211"/>
      <c r="AT34" s="272"/>
    </row>
    <row r="35" spans="2:46" ht="15.75" customHeight="1" x14ac:dyDescent="0.25">
      <c r="B35" s="288"/>
      <c r="C35" s="211"/>
      <c r="D35" s="212"/>
      <c r="E35" s="223"/>
      <c r="F35" s="211"/>
      <c r="G35" s="211"/>
      <c r="H35" s="211"/>
      <c r="I35" s="211"/>
      <c r="J35" s="249"/>
      <c r="K35" s="250"/>
      <c r="L35" s="245"/>
      <c r="M35" s="250"/>
      <c r="N35" s="245"/>
      <c r="O35" s="246"/>
      <c r="P35" s="245"/>
      <c r="Q35" s="250"/>
      <c r="R35" s="245"/>
      <c r="S35" s="250"/>
      <c r="T35" s="245"/>
      <c r="U35" s="246"/>
      <c r="V35" s="249"/>
      <c r="W35" s="250"/>
      <c r="X35" s="245"/>
      <c r="Y35" s="250"/>
      <c r="Z35" s="245"/>
      <c r="AA35" s="246"/>
      <c r="AB35" s="249"/>
      <c r="AC35" s="250"/>
      <c r="AD35" s="245"/>
      <c r="AE35" s="250"/>
      <c r="AF35" s="245"/>
      <c r="AG35" s="246"/>
      <c r="AH35" s="249"/>
      <c r="AI35" s="250"/>
      <c r="AJ35" s="245"/>
      <c r="AK35" s="250"/>
      <c r="AL35" s="245"/>
      <c r="AM35" s="246"/>
      <c r="AN35" s="1"/>
      <c r="AO35" s="271"/>
      <c r="AP35" s="211"/>
      <c r="AQ35" s="211"/>
      <c r="AR35" s="211"/>
      <c r="AS35" s="211"/>
      <c r="AT35" s="272"/>
    </row>
    <row r="36" spans="2:46" ht="15.75" customHeight="1" x14ac:dyDescent="0.25">
      <c r="B36" s="288"/>
      <c r="C36" s="211"/>
      <c r="D36" s="212"/>
      <c r="E36" s="223"/>
      <c r="F36" s="211"/>
      <c r="G36" s="211"/>
      <c r="H36" s="211"/>
      <c r="I36" s="211"/>
      <c r="J36" s="283" t="e">
        <f>IF(AND('Mapa final'!#REF!="Baja",'Mapa final'!#REF!="Leve"),CONCATENATE("R",'Mapa final'!#REF!),"")</f>
        <v>#REF!</v>
      </c>
      <c r="K36" s="248"/>
      <c r="L36" s="265" t="str">
        <f>IF(AND('Mapa final'!$H$46="Baja",'Mapa final'!$L$46="Leve"),CONCATENATE("R",'Mapa final'!$A$46),"")</f>
        <v/>
      </c>
      <c r="M36" s="248"/>
      <c r="N36" s="265" t="str">
        <f>IF(AND('Mapa final'!$H$52="Baja",'Mapa final'!$L$52="Leve"),CONCATENATE("R",'Mapa final'!$A$52),"")</f>
        <v/>
      </c>
      <c r="O36" s="244"/>
      <c r="P36" s="266" t="e">
        <f>IF(AND('Mapa final'!#REF!="Baja",'Mapa final'!#REF!="Menor"),CONCATENATE("R",'Mapa final'!#REF!),"")</f>
        <v>#REF!</v>
      </c>
      <c r="Q36" s="248"/>
      <c r="R36" s="266" t="str">
        <f>IF(AND('Mapa final'!$H$46="Baja",'Mapa final'!$L$46="Menor"),CONCATENATE("R",'Mapa final'!$A$46),"")</f>
        <v/>
      </c>
      <c r="S36" s="248"/>
      <c r="T36" s="266" t="str">
        <f>IF(AND('Mapa final'!$H$52="Baja",'Mapa final'!$L$52="Menor"),CONCATENATE("R",'Mapa final'!$A$52),"")</f>
        <v/>
      </c>
      <c r="U36" s="244"/>
      <c r="V36" s="267" t="e">
        <f>IF(AND('Mapa final'!#REF!="Baja",'Mapa final'!#REF!="Moderado"),CONCATENATE("R",'Mapa final'!#REF!),"")</f>
        <v>#REF!</v>
      </c>
      <c r="W36" s="248"/>
      <c r="X36" s="266" t="str">
        <f>IF(AND('Mapa final'!$H$46="Baja",'Mapa final'!$L$46="Moderado"),CONCATENATE("R",'Mapa final'!$A$46),"")</f>
        <v/>
      </c>
      <c r="Y36" s="248"/>
      <c r="Z36" s="266" t="str">
        <f>IF(AND('Mapa final'!$H$52="Baja",'Mapa final'!$L$52="Moderado"),CONCATENATE("R",'Mapa final'!$A$52),"")</f>
        <v/>
      </c>
      <c r="AA36" s="244"/>
      <c r="AB36" s="255" t="e">
        <f>IF(AND('Mapa final'!#REF!="Baja",'Mapa final'!#REF!="Mayor"),CONCATENATE("R",'Mapa final'!#REF!),"")</f>
        <v>#REF!</v>
      </c>
      <c r="AC36" s="248"/>
      <c r="AD36" s="243" t="str">
        <f>IF(AND('Mapa final'!$H$46="Baja",'Mapa final'!$L$46="Mayor"),CONCATENATE("R",'Mapa final'!$A$46),"")</f>
        <v/>
      </c>
      <c r="AE36" s="248"/>
      <c r="AF36" s="243" t="str">
        <f>IF(AND('Mapa final'!$H$52="Baja",'Mapa final'!$L$52="Mayor"),CONCATENATE("R",'Mapa final'!$A$52),"")</f>
        <v/>
      </c>
      <c r="AG36" s="244"/>
      <c r="AH36" s="247" t="e">
        <f>IF(AND('Mapa final'!#REF!="Baja",'Mapa final'!#REF!="Catastrófico"),CONCATENATE("R",'Mapa final'!#REF!),"")</f>
        <v>#REF!</v>
      </c>
      <c r="AI36" s="248"/>
      <c r="AJ36" s="251" t="str">
        <f>IF(AND('Mapa final'!$H$46="Baja",'Mapa final'!$L$46="Catastrófico"),CONCATENATE("R",'Mapa final'!$A$46),"")</f>
        <v/>
      </c>
      <c r="AK36" s="248"/>
      <c r="AL36" s="251" t="str">
        <f>IF(AND('Mapa final'!$H$52="Baja",'Mapa final'!$L$52="Catastrófico"),CONCATENATE("R",'Mapa final'!$A$52),"")</f>
        <v/>
      </c>
      <c r="AM36" s="244"/>
      <c r="AN36" s="1"/>
      <c r="AO36" s="271"/>
      <c r="AP36" s="211"/>
      <c r="AQ36" s="211"/>
      <c r="AR36" s="211"/>
      <c r="AS36" s="211"/>
      <c r="AT36" s="272"/>
    </row>
    <row r="37" spans="2:46" ht="15.75" customHeight="1" x14ac:dyDescent="0.25">
      <c r="B37" s="288"/>
      <c r="C37" s="211"/>
      <c r="D37" s="212"/>
      <c r="E37" s="257"/>
      <c r="F37" s="281"/>
      <c r="G37" s="281"/>
      <c r="H37" s="281"/>
      <c r="I37" s="281"/>
      <c r="J37" s="257"/>
      <c r="K37" s="258"/>
      <c r="L37" s="259"/>
      <c r="M37" s="258"/>
      <c r="N37" s="259"/>
      <c r="O37" s="260"/>
      <c r="P37" s="259"/>
      <c r="Q37" s="258"/>
      <c r="R37" s="259"/>
      <c r="S37" s="258"/>
      <c r="T37" s="259"/>
      <c r="U37" s="260"/>
      <c r="V37" s="257"/>
      <c r="W37" s="258"/>
      <c r="X37" s="259"/>
      <c r="Y37" s="258"/>
      <c r="Z37" s="259"/>
      <c r="AA37" s="260"/>
      <c r="AB37" s="257"/>
      <c r="AC37" s="258"/>
      <c r="AD37" s="259"/>
      <c r="AE37" s="258"/>
      <c r="AF37" s="259"/>
      <c r="AG37" s="260"/>
      <c r="AH37" s="257"/>
      <c r="AI37" s="258"/>
      <c r="AJ37" s="259"/>
      <c r="AK37" s="258"/>
      <c r="AL37" s="259"/>
      <c r="AM37" s="260"/>
      <c r="AN37" s="1"/>
      <c r="AO37" s="273"/>
      <c r="AP37" s="274"/>
      <c r="AQ37" s="274"/>
      <c r="AR37" s="274"/>
      <c r="AS37" s="274"/>
      <c r="AT37" s="275"/>
    </row>
    <row r="38" spans="2:46" ht="15.75" customHeight="1" x14ac:dyDescent="0.25">
      <c r="B38" s="288"/>
      <c r="C38" s="211"/>
      <c r="D38" s="212"/>
      <c r="E38" s="279" t="s">
        <v>103</v>
      </c>
      <c r="F38" s="280"/>
      <c r="G38" s="280"/>
      <c r="H38" s="280"/>
      <c r="I38" s="262"/>
      <c r="J38" s="282" t="str">
        <f>IF(AND('Mapa final'!$H$16="Muy Baja",'Mapa final'!$L$16="Leve"),CONCATENATE("R",'Mapa final'!$A$16),"")</f>
        <v/>
      </c>
      <c r="K38" s="253"/>
      <c r="L38" s="284" t="str">
        <f>IF(AND('Mapa final'!$H$21="Muy Baja",'Mapa final'!$L$21="Leve"),CONCATENATE("R",'Mapa final'!$A$21),"")</f>
        <v/>
      </c>
      <c r="M38" s="253"/>
      <c r="N38" s="284" t="str">
        <f>IF(AND('Mapa final'!$H$26="Muy Baja",'Mapa final'!$L$26="Leve"),CONCATENATE("R",'Mapa final'!$A$26),"")</f>
        <v/>
      </c>
      <c r="O38" s="262"/>
      <c r="P38" s="282" t="str">
        <f>IF(AND('Mapa final'!$H$16="Muy Baja",'Mapa final'!$L$16="Menor"),CONCATENATE("R",'Mapa final'!$A$16),"")</f>
        <v/>
      </c>
      <c r="Q38" s="253"/>
      <c r="R38" s="284" t="str">
        <f>IF(AND('Mapa final'!$H$21="Muy Baja",'Mapa final'!$L$21="Menor"),CONCATENATE("R",'Mapa final'!$A$21),"")</f>
        <v/>
      </c>
      <c r="S38" s="253"/>
      <c r="T38" s="284" t="str">
        <f>IF(AND('Mapa final'!$H$26="Muy Baja",'Mapa final'!$L$26="Menor"),CONCATENATE("R",'Mapa final'!$A$26),"")</f>
        <v/>
      </c>
      <c r="U38" s="262"/>
      <c r="V38" s="263" t="str">
        <f>IF(AND('Mapa final'!$H$16="Muy Baja",'Mapa final'!$L$16="Moderado"),CONCATENATE("R",'Mapa final'!$A$16),"")</f>
        <v/>
      </c>
      <c r="W38" s="253"/>
      <c r="X38" s="261" t="str">
        <f>IF(AND('Mapa final'!$H$21="Muy Baja",'Mapa final'!$L$21="Moderado"),CONCATENATE("R",'Mapa final'!$A$21),"")</f>
        <v/>
      </c>
      <c r="Y38" s="253"/>
      <c r="Z38" s="261" t="str">
        <f>IF(AND('Mapa final'!$H$26="Muy Baja",'Mapa final'!$L$26="Moderado"),CONCATENATE("R",'Mapa final'!$A$26),"")</f>
        <v/>
      </c>
      <c r="AA38" s="262"/>
      <c r="AB38" s="252" t="str">
        <f>IF(AND('Mapa final'!$H$16="Muy Baja",'Mapa final'!$L$16="Mayor"),CONCATENATE("R",'Mapa final'!$A$16),"")</f>
        <v/>
      </c>
      <c r="AC38" s="253"/>
      <c r="AD38" s="254" t="str">
        <f>IF(AND('Mapa final'!$H$21="Muy Baja",'Mapa final'!$L$21="Mayor"),CONCATENATE("R",'Mapa final'!$A$21),"")</f>
        <v/>
      </c>
      <c r="AE38" s="253"/>
      <c r="AF38" s="254" t="str">
        <f>IF(AND('Mapa final'!$H$26="Muy Baja",'Mapa final'!$L$26="Mayor"),CONCATENATE("R",'Mapa final'!$A$26),"")</f>
        <v/>
      </c>
      <c r="AG38" s="262"/>
      <c r="AH38" s="264" t="str">
        <f>IF(AND('Mapa final'!$H$16="Muy Baja",'Mapa final'!$L$16="Catastrófico"),CONCATENATE("R",'Mapa final'!$A$16),"")</f>
        <v/>
      </c>
      <c r="AI38" s="253"/>
      <c r="AJ38" s="256" t="str">
        <f>IF(AND('Mapa final'!$H$21="Muy Baja",'Mapa final'!$L$21="Catastrófico"),CONCATENATE("R",'Mapa final'!$A$21),"")</f>
        <v/>
      </c>
      <c r="AK38" s="253"/>
      <c r="AL38" s="256" t="str">
        <f>IF(AND('Mapa final'!$H$26="Muy Baja",'Mapa final'!$L$26="Catastrófico"),CONCATENATE("R",'Mapa final'!$A$26),"")</f>
        <v/>
      </c>
      <c r="AM38" s="262"/>
      <c r="AN38" s="1"/>
      <c r="AO38" s="1"/>
      <c r="AP38" s="1"/>
      <c r="AQ38" s="1"/>
      <c r="AR38" s="1"/>
      <c r="AS38" s="1"/>
      <c r="AT38" s="1"/>
    </row>
    <row r="39" spans="2:46" ht="15.75" customHeight="1" x14ac:dyDescent="0.25">
      <c r="B39" s="288"/>
      <c r="C39" s="211"/>
      <c r="D39" s="212"/>
      <c r="E39" s="223"/>
      <c r="F39" s="211"/>
      <c r="G39" s="211"/>
      <c r="H39" s="211"/>
      <c r="I39" s="212"/>
      <c r="J39" s="249"/>
      <c r="K39" s="250"/>
      <c r="L39" s="245"/>
      <c r="M39" s="250"/>
      <c r="N39" s="245"/>
      <c r="O39" s="246"/>
      <c r="P39" s="249"/>
      <c r="Q39" s="250"/>
      <c r="R39" s="245"/>
      <c r="S39" s="250"/>
      <c r="T39" s="245"/>
      <c r="U39" s="246"/>
      <c r="V39" s="249"/>
      <c r="W39" s="250"/>
      <c r="X39" s="245"/>
      <c r="Y39" s="250"/>
      <c r="Z39" s="245"/>
      <c r="AA39" s="246"/>
      <c r="AB39" s="249"/>
      <c r="AC39" s="250"/>
      <c r="AD39" s="245"/>
      <c r="AE39" s="250"/>
      <c r="AF39" s="245"/>
      <c r="AG39" s="246"/>
      <c r="AH39" s="249"/>
      <c r="AI39" s="250"/>
      <c r="AJ39" s="245"/>
      <c r="AK39" s="250"/>
      <c r="AL39" s="245"/>
      <c r="AM39" s="246"/>
      <c r="AN39" s="1"/>
      <c r="AO39" s="1"/>
      <c r="AP39" s="1"/>
      <c r="AQ39" s="1"/>
      <c r="AR39" s="1"/>
      <c r="AS39" s="1"/>
      <c r="AT39" s="1"/>
    </row>
    <row r="40" spans="2:46" ht="15.75" customHeight="1" x14ac:dyDescent="0.25">
      <c r="B40" s="288"/>
      <c r="C40" s="211"/>
      <c r="D40" s="212"/>
      <c r="E40" s="223"/>
      <c r="F40" s="211"/>
      <c r="G40" s="211"/>
      <c r="H40" s="211"/>
      <c r="I40" s="212"/>
      <c r="J40" s="283" t="str">
        <f>IF(AND('Mapa final'!$H$31="Muy Baja",'Mapa final'!$L$31="Leve"),CONCATENATE("R",'Mapa final'!$A$31),"")</f>
        <v/>
      </c>
      <c r="K40" s="248"/>
      <c r="L40" s="265" t="str">
        <f>IF(AND('Mapa final'!$H$36="Muy Baja",'Mapa final'!$L$36="Leve"),CONCATENATE("R",'Mapa final'!$A$36),"")</f>
        <v/>
      </c>
      <c r="M40" s="248"/>
      <c r="N40" s="265" t="str">
        <f>IF(AND('Mapa final'!$H$41="Muy Baja",'Mapa final'!$L$41="Leve"),CONCATENATE("R",'Mapa final'!$A$41),"")</f>
        <v/>
      </c>
      <c r="O40" s="244"/>
      <c r="P40" s="283" t="str">
        <f>IF(AND('Mapa final'!$H$31="Muy Baja",'Mapa final'!$L$31="Menor"),CONCATENATE("R",'Mapa final'!$A$31),"")</f>
        <v/>
      </c>
      <c r="Q40" s="248"/>
      <c r="R40" s="265" t="str">
        <f>IF(AND('Mapa final'!$H$36="Muy Baja",'Mapa final'!$L$36="Menor"),CONCATENATE("R",'Mapa final'!$A$36),"")</f>
        <v/>
      </c>
      <c r="S40" s="248"/>
      <c r="T40" s="265" t="str">
        <f>IF(AND('Mapa final'!$H$41="Muy Baja",'Mapa final'!$L$41="Menor"),CONCATENATE("R",'Mapa final'!$A$41),"")</f>
        <v/>
      </c>
      <c r="U40" s="244"/>
      <c r="V40" s="267" t="str">
        <f>IF(AND('Mapa final'!$H$31="Muy Baja",'Mapa final'!$L$31="Moderado"),CONCATENATE("R",'Mapa final'!$A$31),"")</f>
        <v/>
      </c>
      <c r="W40" s="248"/>
      <c r="X40" s="266" t="str">
        <f>IF(AND('Mapa final'!$H$36="Muy Baja",'Mapa final'!$L$36="Moderado"),CONCATENATE("R",'Mapa final'!$A$36),"")</f>
        <v/>
      </c>
      <c r="Y40" s="248"/>
      <c r="Z40" s="266" t="str">
        <f>IF(AND('Mapa final'!$H$41="Muy Baja",'Mapa final'!$L$41="Moderado"),CONCATENATE("R",'Mapa final'!$A$41),"")</f>
        <v/>
      </c>
      <c r="AA40" s="244"/>
      <c r="AB40" s="255" t="str">
        <f>IF(AND('Mapa final'!$H$31="Muy Baja",'Mapa final'!$L$31="Mayor"),CONCATENATE("R",'Mapa final'!$A$31),"")</f>
        <v/>
      </c>
      <c r="AC40" s="248"/>
      <c r="AD40" s="243" t="str">
        <f>IF(AND('Mapa final'!$H$36="Muy Baja",'Mapa final'!$L$36="Mayor"),CONCATENATE("R",'Mapa final'!$A$36),"")</f>
        <v/>
      </c>
      <c r="AE40" s="248"/>
      <c r="AF40" s="243" t="str">
        <f>IF(AND('Mapa final'!$H$41="Muy Baja",'Mapa final'!$L$41="Mayor"),CONCATENATE("R",'Mapa final'!$A$41),"")</f>
        <v/>
      </c>
      <c r="AG40" s="244"/>
      <c r="AH40" s="247" t="str">
        <f>IF(AND('Mapa final'!$H$31="Muy Baja",'Mapa final'!$L$31="Catastrófico"),CONCATENATE("R",'Mapa final'!$A$31),"")</f>
        <v/>
      </c>
      <c r="AI40" s="248"/>
      <c r="AJ40" s="251" t="str">
        <f>IF(AND('Mapa final'!$H$36="Muy Baja",'Mapa final'!$L$36="Catastrófico"),CONCATENATE("R",'Mapa final'!$A$36),"")</f>
        <v/>
      </c>
      <c r="AK40" s="248"/>
      <c r="AL40" s="251" t="str">
        <f>IF(AND('Mapa final'!$H$41="Muy Baja",'Mapa final'!$L$41="Catastrófico"),CONCATENATE("R",'Mapa final'!$A$41),"")</f>
        <v/>
      </c>
      <c r="AM40" s="244"/>
      <c r="AN40" s="1"/>
      <c r="AO40" s="1"/>
      <c r="AP40" s="1"/>
      <c r="AQ40" s="1"/>
      <c r="AR40" s="1"/>
      <c r="AS40" s="1"/>
      <c r="AT40" s="1"/>
    </row>
    <row r="41" spans="2:46" ht="15.75" customHeight="1" x14ac:dyDescent="0.25">
      <c r="B41" s="288"/>
      <c r="C41" s="211"/>
      <c r="D41" s="212"/>
      <c r="E41" s="223"/>
      <c r="F41" s="211"/>
      <c r="G41" s="211"/>
      <c r="H41" s="211"/>
      <c r="I41" s="212"/>
      <c r="J41" s="249"/>
      <c r="K41" s="250"/>
      <c r="L41" s="245"/>
      <c r="M41" s="250"/>
      <c r="N41" s="245"/>
      <c r="O41" s="246"/>
      <c r="P41" s="249"/>
      <c r="Q41" s="250"/>
      <c r="R41" s="245"/>
      <c r="S41" s="250"/>
      <c r="T41" s="245"/>
      <c r="U41" s="246"/>
      <c r="V41" s="249"/>
      <c r="W41" s="250"/>
      <c r="X41" s="245"/>
      <c r="Y41" s="250"/>
      <c r="Z41" s="245"/>
      <c r="AA41" s="246"/>
      <c r="AB41" s="249"/>
      <c r="AC41" s="250"/>
      <c r="AD41" s="245"/>
      <c r="AE41" s="250"/>
      <c r="AF41" s="245"/>
      <c r="AG41" s="246"/>
      <c r="AH41" s="249"/>
      <c r="AI41" s="250"/>
      <c r="AJ41" s="245"/>
      <c r="AK41" s="250"/>
      <c r="AL41" s="245"/>
      <c r="AM41" s="246"/>
      <c r="AN41" s="1"/>
      <c r="AO41" s="1"/>
      <c r="AP41" s="1"/>
      <c r="AQ41" s="1"/>
      <c r="AR41" s="1"/>
      <c r="AS41" s="1"/>
      <c r="AT41" s="1"/>
    </row>
    <row r="42" spans="2:46" ht="15.75" customHeight="1" x14ac:dyDescent="0.25">
      <c r="B42" s="288"/>
      <c r="C42" s="211"/>
      <c r="D42" s="212"/>
      <c r="E42" s="223"/>
      <c r="F42" s="211"/>
      <c r="G42" s="211"/>
      <c r="H42" s="211"/>
      <c r="I42" s="212"/>
      <c r="J42" s="283" t="e">
        <f>IF(AND('Mapa final'!#REF!="Muy Baja",'Mapa final'!#REF!="Leve"),CONCATENATE("R",'Mapa final'!#REF!),"")</f>
        <v>#REF!</v>
      </c>
      <c r="K42" s="248"/>
      <c r="L42" s="265" t="e">
        <f>IF(AND('Mapa final'!#REF!="Muy Baja",'Mapa final'!#REF!="Leve"),CONCATENATE("R",'Mapa final'!#REF!),"")</f>
        <v>#REF!</v>
      </c>
      <c r="M42" s="248"/>
      <c r="N42" s="265" t="e">
        <f>IF(AND('Mapa final'!#REF!="Muy Baja",'Mapa final'!#REF!="Leve"),CONCATENATE("R",'Mapa final'!#REF!),"")</f>
        <v>#REF!</v>
      </c>
      <c r="O42" s="244"/>
      <c r="P42" s="283" t="e">
        <f>IF(AND('Mapa final'!#REF!="Muy Baja",'Mapa final'!#REF!="Menor"),CONCATENATE("R",'Mapa final'!#REF!),"")</f>
        <v>#REF!</v>
      </c>
      <c r="Q42" s="248"/>
      <c r="R42" s="265" t="e">
        <f>IF(AND('Mapa final'!#REF!="Muy Baja",'Mapa final'!#REF!="Menor"),CONCATENATE("R",'Mapa final'!#REF!),"")</f>
        <v>#REF!</v>
      </c>
      <c r="S42" s="248"/>
      <c r="T42" s="265" t="e">
        <f>IF(AND('Mapa final'!#REF!="Muy Baja",'Mapa final'!#REF!="Menor"),CONCATENATE("R",'Mapa final'!#REF!),"")</f>
        <v>#REF!</v>
      </c>
      <c r="U42" s="244"/>
      <c r="V42" s="267" t="e">
        <f>IF(AND('Mapa final'!#REF!="Muy Baja",'Mapa final'!#REF!="Moderado"),CONCATENATE("R",'Mapa final'!#REF!),"")</f>
        <v>#REF!</v>
      </c>
      <c r="W42" s="248"/>
      <c r="X42" s="266" t="e">
        <f>IF(AND('Mapa final'!#REF!="Muy Baja",'Mapa final'!#REF!="Moderado"),CONCATENATE("R",'Mapa final'!#REF!),"")</f>
        <v>#REF!</v>
      </c>
      <c r="Y42" s="248"/>
      <c r="Z42" s="266" t="e">
        <f>IF(AND('Mapa final'!#REF!="Muy Baja",'Mapa final'!#REF!="Moderado"),CONCATENATE("R",'Mapa final'!#REF!),"")</f>
        <v>#REF!</v>
      </c>
      <c r="AA42" s="244"/>
      <c r="AB42" s="255" t="e">
        <f>IF(AND('Mapa final'!#REF!="Muy Baja",'Mapa final'!#REF!="Mayor"),CONCATENATE("R",'Mapa final'!#REF!),"")</f>
        <v>#REF!</v>
      </c>
      <c r="AC42" s="248"/>
      <c r="AD42" s="243" t="e">
        <f>IF(AND('Mapa final'!#REF!="Muy Baja",'Mapa final'!#REF!="Mayor"),CONCATENATE("R",'Mapa final'!#REF!),"")</f>
        <v>#REF!</v>
      </c>
      <c r="AE42" s="248"/>
      <c r="AF42" s="243" t="e">
        <f>IF(AND('Mapa final'!#REF!="Muy Baja",'Mapa final'!#REF!="Mayor"),CONCATENATE("R",'Mapa final'!#REF!),"")</f>
        <v>#REF!</v>
      </c>
      <c r="AG42" s="244"/>
      <c r="AH42" s="247" t="e">
        <f>IF(AND('Mapa final'!#REF!="Muy Baja",'Mapa final'!#REF!="Catastrófico"),CONCATENATE("R",'Mapa final'!#REF!),"")</f>
        <v>#REF!</v>
      </c>
      <c r="AI42" s="248"/>
      <c r="AJ42" s="251" t="e">
        <f>IF(AND('Mapa final'!#REF!="Muy Baja",'Mapa final'!#REF!="Catastrófico"),CONCATENATE("R",'Mapa final'!#REF!),"")</f>
        <v>#REF!</v>
      </c>
      <c r="AK42" s="248"/>
      <c r="AL42" s="251" t="e">
        <f>IF(AND('Mapa final'!#REF!="Muy Baja",'Mapa final'!#REF!="Catastrófico"),CONCATENATE("R",'Mapa final'!#REF!),"")</f>
        <v>#REF!</v>
      </c>
      <c r="AM42" s="244"/>
      <c r="AN42" s="1"/>
      <c r="AO42" s="1"/>
      <c r="AP42" s="1"/>
      <c r="AQ42" s="1"/>
      <c r="AR42" s="1"/>
      <c r="AS42" s="1"/>
      <c r="AT42" s="1"/>
    </row>
    <row r="43" spans="2:46" ht="15.75" customHeight="1" x14ac:dyDescent="0.25">
      <c r="B43" s="288"/>
      <c r="C43" s="211"/>
      <c r="D43" s="212"/>
      <c r="E43" s="223"/>
      <c r="F43" s="211"/>
      <c r="G43" s="211"/>
      <c r="H43" s="211"/>
      <c r="I43" s="212"/>
      <c r="J43" s="249"/>
      <c r="K43" s="250"/>
      <c r="L43" s="245"/>
      <c r="M43" s="250"/>
      <c r="N43" s="245"/>
      <c r="O43" s="246"/>
      <c r="P43" s="249"/>
      <c r="Q43" s="250"/>
      <c r="R43" s="245"/>
      <c r="S43" s="250"/>
      <c r="T43" s="245"/>
      <c r="U43" s="246"/>
      <c r="V43" s="249"/>
      <c r="W43" s="250"/>
      <c r="X43" s="245"/>
      <c r="Y43" s="250"/>
      <c r="Z43" s="245"/>
      <c r="AA43" s="246"/>
      <c r="AB43" s="249"/>
      <c r="AC43" s="250"/>
      <c r="AD43" s="245"/>
      <c r="AE43" s="250"/>
      <c r="AF43" s="245"/>
      <c r="AG43" s="246"/>
      <c r="AH43" s="249"/>
      <c r="AI43" s="250"/>
      <c r="AJ43" s="245"/>
      <c r="AK43" s="250"/>
      <c r="AL43" s="245"/>
      <c r="AM43" s="246"/>
      <c r="AN43" s="1"/>
      <c r="AO43" s="1"/>
      <c r="AP43" s="1"/>
      <c r="AQ43" s="1"/>
      <c r="AR43" s="1"/>
      <c r="AS43" s="1"/>
      <c r="AT43" s="1"/>
    </row>
    <row r="44" spans="2:46" ht="15.75" customHeight="1" x14ac:dyDescent="0.25">
      <c r="B44" s="288"/>
      <c r="C44" s="211"/>
      <c r="D44" s="212"/>
      <c r="E44" s="223"/>
      <c r="F44" s="211"/>
      <c r="G44" s="211"/>
      <c r="H44" s="211"/>
      <c r="I44" s="212"/>
      <c r="J44" s="283" t="e">
        <f>IF(AND('Mapa final'!#REF!="Muy Baja",'Mapa final'!#REF!="Leve"),CONCATENATE("R",'Mapa final'!#REF!),"")</f>
        <v>#REF!</v>
      </c>
      <c r="K44" s="248"/>
      <c r="L44" s="265" t="str">
        <f>IF(AND('Mapa final'!$H$46="Muy Baja",'Mapa final'!$L$46="Leve"),CONCATENATE("R",'Mapa final'!$A$46),"")</f>
        <v/>
      </c>
      <c r="M44" s="248"/>
      <c r="N44" s="265" t="str">
        <f>IF(AND('Mapa final'!$H$52="Muy Baja",'Mapa final'!$L$52="Leve"),CONCATENATE("R",'Mapa final'!$A$52),"")</f>
        <v/>
      </c>
      <c r="O44" s="244"/>
      <c r="P44" s="283" t="e">
        <f>IF(AND('Mapa final'!#REF!="Muy Baja",'Mapa final'!#REF!="Menor"),CONCATENATE("R",'Mapa final'!#REF!),"")</f>
        <v>#REF!</v>
      </c>
      <c r="Q44" s="248"/>
      <c r="R44" s="265" t="str">
        <f>IF(AND('Mapa final'!$H$46="Muy Baja",'Mapa final'!$L$46="Menor"),CONCATENATE("R",'Mapa final'!$A$46),"")</f>
        <v/>
      </c>
      <c r="S44" s="248"/>
      <c r="T44" s="265" t="str">
        <f>IF(AND('Mapa final'!$H$52="Muy Baja",'Mapa final'!$L$52="Menor"),CONCATENATE("R",'Mapa final'!$A$52),"")</f>
        <v/>
      </c>
      <c r="U44" s="244"/>
      <c r="V44" s="267" t="e">
        <f>IF(AND('Mapa final'!#REF!="Muy Baja",'Mapa final'!#REF!="Moderado"),CONCATENATE("R",'Mapa final'!#REF!),"")</f>
        <v>#REF!</v>
      </c>
      <c r="W44" s="248"/>
      <c r="X44" s="266" t="str">
        <f>IF(AND('Mapa final'!$H$46="Muy Baja",'Mapa final'!$L$46="Moderado"),CONCATENATE("R",'Mapa final'!$A$46),"")</f>
        <v/>
      </c>
      <c r="Y44" s="248"/>
      <c r="Z44" s="266" t="str">
        <f>IF(AND('Mapa final'!$H$52="Muy Baja",'Mapa final'!$L$52="Moderado"),CONCATENATE("R",'Mapa final'!$A$52),"")</f>
        <v/>
      </c>
      <c r="AA44" s="244"/>
      <c r="AB44" s="255" t="e">
        <f>IF(AND('Mapa final'!#REF!="Muy Baja",'Mapa final'!#REF!="Mayor"),CONCATENATE("R",'Mapa final'!#REF!),"")</f>
        <v>#REF!</v>
      </c>
      <c r="AC44" s="248"/>
      <c r="AD44" s="243" t="str">
        <f>IF(AND('Mapa final'!$H$46="Muy Baja",'Mapa final'!$L$46="Mayor"),CONCATENATE("R",'Mapa final'!$A$46),"")</f>
        <v/>
      </c>
      <c r="AE44" s="248"/>
      <c r="AF44" s="243" t="str">
        <f>IF(AND('Mapa final'!$H$52="Muy Baja",'Mapa final'!$L$52="Mayor"),CONCATENATE("R",'Mapa final'!$A$52),"")</f>
        <v/>
      </c>
      <c r="AG44" s="244"/>
      <c r="AH44" s="247" t="e">
        <f>IF(AND('Mapa final'!#REF!="Muy Baja",'Mapa final'!#REF!="Catastrófico"),CONCATENATE("R",'Mapa final'!#REF!),"")</f>
        <v>#REF!</v>
      </c>
      <c r="AI44" s="248"/>
      <c r="AJ44" s="251" t="str">
        <f>IF(AND('Mapa final'!$H$46="Muy Baja",'Mapa final'!$L$46="Catastrófico"),CONCATENATE("R",'Mapa final'!$A$46),"")</f>
        <v/>
      </c>
      <c r="AK44" s="248"/>
      <c r="AL44" s="251" t="str">
        <f>IF(AND('Mapa final'!$H$52="Muy Baja",'Mapa final'!$L$52="Catastrófico"),CONCATENATE("R",'Mapa final'!$A$52),"")</f>
        <v/>
      </c>
      <c r="AM44" s="244"/>
      <c r="AN44" s="1"/>
      <c r="AO44" s="1"/>
      <c r="AP44" s="1"/>
      <c r="AQ44" s="1"/>
      <c r="AR44" s="1"/>
      <c r="AS44" s="1"/>
      <c r="AT44" s="1"/>
    </row>
    <row r="45" spans="2:46" ht="15.75" customHeight="1" x14ac:dyDescent="0.25">
      <c r="B45" s="245"/>
      <c r="C45" s="290"/>
      <c r="D45" s="246"/>
      <c r="E45" s="257"/>
      <c r="F45" s="281"/>
      <c r="G45" s="281"/>
      <c r="H45" s="281"/>
      <c r="I45" s="260"/>
      <c r="J45" s="257"/>
      <c r="K45" s="258"/>
      <c r="L45" s="259"/>
      <c r="M45" s="258"/>
      <c r="N45" s="259"/>
      <c r="O45" s="260"/>
      <c r="P45" s="257"/>
      <c r="Q45" s="258"/>
      <c r="R45" s="259"/>
      <c r="S45" s="258"/>
      <c r="T45" s="259"/>
      <c r="U45" s="260"/>
      <c r="V45" s="257"/>
      <c r="W45" s="258"/>
      <c r="X45" s="259"/>
      <c r="Y45" s="258"/>
      <c r="Z45" s="259"/>
      <c r="AA45" s="260"/>
      <c r="AB45" s="257"/>
      <c r="AC45" s="258"/>
      <c r="AD45" s="259"/>
      <c r="AE45" s="258"/>
      <c r="AF45" s="259"/>
      <c r="AG45" s="260"/>
      <c r="AH45" s="257"/>
      <c r="AI45" s="258"/>
      <c r="AJ45" s="259"/>
      <c r="AK45" s="258"/>
      <c r="AL45" s="259"/>
      <c r="AM45" s="260"/>
      <c r="AN45" s="1"/>
      <c r="AO45" s="1"/>
      <c r="AP45" s="1"/>
      <c r="AQ45" s="1"/>
      <c r="AR45" s="1"/>
      <c r="AS45" s="1"/>
      <c r="AT45" s="1"/>
    </row>
    <row r="46" spans="2:46" ht="15.75" customHeight="1" x14ac:dyDescent="0.25">
      <c r="B46" s="1"/>
      <c r="C46" s="1"/>
      <c r="D46" s="1"/>
      <c r="E46" s="1"/>
      <c r="F46" s="1"/>
      <c r="G46" s="1"/>
      <c r="H46" s="1"/>
      <c r="I46" s="1"/>
      <c r="J46" s="279" t="s">
        <v>104</v>
      </c>
      <c r="K46" s="280"/>
      <c r="L46" s="280"/>
      <c r="M46" s="280"/>
      <c r="N46" s="280"/>
      <c r="O46" s="262"/>
      <c r="P46" s="279" t="s">
        <v>105</v>
      </c>
      <c r="Q46" s="280"/>
      <c r="R46" s="280"/>
      <c r="S46" s="280"/>
      <c r="T46" s="280"/>
      <c r="U46" s="262"/>
      <c r="V46" s="279" t="s">
        <v>106</v>
      </c>
      <c r="W46" s="280"/>
      <c r="X46" s="280"/>
      <c r="Y46" s="280"/>
      <c r="Z46" s="280"/>
      <c r="AA46" s="262"/>
      <c r="AB46" s="279" t="s">
        <v>107</v>
      </c>
      <c r="AC46" s="280"/>
      <c r="AD46" s="280"/>
      <c r="AE46" s="280"/>
      <c r="AF46" s="280"/>
      <c r="AG46" s="262"/>
      <c r="AH46" s="279" t="s">
        <v>108</v>
      </c>
      <c r="AI46" s="280"/>
      <c r="AJ46" s="280"/>
      <c r="AK46" s="280"/>
      <c r="AL46" s="280"/>
      <c r="AM46" s="262"/>
      <c r="AN46" s="1"/>
      <c r="AO46" s="1"/>
      <c r="AP46" s="1"/>
      <c r="AQ46" s="1"/>
      <c r="AR46" s="1"/>
      <c r="AS46" s="1"/>
      <c r="AT46" s="1"/>
    </row>
    <row r="47" spans="2:46" ht="15.75" customHeight="1" x14ac:dyDescent="0.25">
      <c r="B47" s="1"/>
      <c r="C47" s="1"/>
      <c r="D47" s="1"/>
      <c r="E47" s="1"/>
      <c r="F47" s="1"/>
      <c r="G47" s="1"/>
      <c r="H47" s="1"/>
      <c r="I47" s="1"/>
      <c r="J47" s="223"/>
      <c r="K47" s="211"/>
      <c r="L47" s="211"/>
      <c r="M47" s="211"/>
      <c r="N47" s="211"/>
      <c r="O47" s="212"/>
      <c r="P47" s="223"/>
      <c r="Q47" s="211"/>
      <c r="R47" s="211"/>
      <c r="S47" s="211"/>
      <c r="T47" s="211"/>
      <c r="U47" s="212"/>
      <c r="V47" s="223"/>
      <c r="W47" s="211"/>
      <c r="X47" s="211"/>
      <c r="Y47" s="211"/>
      <c r="Z47" s="211"/>
      <c r="AA47" s="212"/>
      <c r="AB47" s="223"/>
      <c r="AC47" s="211"/>
      <c r="AD47" s="211"/>
      <c r="AE47" s="211"/>
      <c r="AF47" s="211"/>
      <c r="AG47" s="212"/>
      <c r="AH47" s="223"/>
      <c r="AI47" s="211"/>
      <c r="AJ47" s="211"/>
      <c r="AK47" s="211"/>
      <c r="AL47" s="211"/>
      <c r="AM47" s="212"/>
      <c r="AN47" s="1"/>
      <c r="AO47" s="1"/>
      <c r="AP47" s="1"/>
      <c r="AQ47" s="1"/>
      <c r="AR47" s="1"/>
      <c r="AS47" s="1"/>
      <c r="AT47" s="1"/>
    </row>
    <row r="48" spans="2:46" ht="15.75" customHeight="1" x14ac:dyDescent="0.25">
      <c r="B48" s="1"/>
      <c r="C48" s="1"/>
      <c r="D48" s="1"/>
      <c r="E48" s="1"/>
      <c r="F48" s="1"/>
      <c r="G48" s="1"/>
      <c r="H48" s="1"/>
      <c r="I48" s="1"/>
      <c r="J48" s="223"/>
      <c r="K48" s="211"/>
      <c r="L48" s="211"/>
      <c r="M48" s="211"/>
      <c r="N48" s="211"/>
      <c r="O48" s="212"/>
      <c r="P48" s="223"/>
      <c r="Q48" s="211"/>
      <c r="R48" s="211"/>
      <c r="S48" s="211"/>
      <c r="T48" s="211"/>
      <c r="U48" s="212"/>
      <c r="V48" s="223"/>
      <c r="W48" s="211"/>
      <c r="X48" s="211"/>
      <c r="Y48" s="211"/>
      <c r="Z48" s="211"/>
      <c r="AA48" s="212"/>
      <c r="AB48" s="223"/>
      <c r="AC48" s="211"/>
      <c r="AD48" s="211"/>
      <c r="AE48" s="211"/>
      <c r="AF48" s="211"/>
      <c r="AG48" s="212"/>
      <c r="AH48" s="223"/>
      <c r="AI48" s="211"/>
      <c r="AJ48" s="211"/>
      <c r="AK48" s="211"/>
      <c r="AL48" s="211"/>
      <c r="AM48" s="212"/>
      <c r="AN48" s="1"/>
      <c r="AO48" s="1"/>
      <c r="AP48" s="1"/>
      <c r="AQ48" s="1"/>
      <c r="AR48" s="1"/>
      <c r="AS48" s="1"/>
      <c r="AT48" s="1"/>
    </row>
    <row r="49" spans="2:39" ht="15.75" customHeight="1" x14ac:dyDescent="0.25">
      <c r="B49" s="1"/>
      <c r="C49" s="1"/>
      <c r="D49" s="1"/>
      <c r="E49" s="1"/>
      <c r="F49" s="1"/>
      <c r="G49" s="1"/>
      <c r="H49" s="1"/>
      <c r="I49" s="1"/>
      <c r="J49" s="223"/>
      <c r="K49" s="211"/>
      <c r="L49" s="211"/>
      <c r="M49" s="211"/>
      <c r="N49" s="211"/>
      <c r="O49" s="212"/>
      <c r="P49" s="223"/>
      <c r="Q49" s="211"/>
      <c r="R49" s="211"/>
      <c r="S49" s="211"/>
      <c r="T49" s="211"/>
      <c r="U49" s="212"/>
      <c r="V49" s="223"/>
      <c r="W49" s="211"/>
      <c r="X49" s="211"/>
      <c r="Y49" s="211"/>
      <c r="Z49" s="211"/>
      <c r="AA49" s="212"/>
      <c r="AB49" s="223"/>
      <c r="AC49" s="211"/>
      <c r="AD49" s="211"/>
      <c r="AE49" s="211"/>
      <c r="AF49" s="211"/>
      <c r="AG49" s="212"/>
      <c r="AH49" s="223"/>
      <c r="AI49" s="211"/>
      <c r="AJ49" s="211"/>
      <c r="AK49" s="211"/>
      <c r="AL49" s="211"/>
      <c r="AM49" s="212"/>
    </row>
    <row r="50" spans="2:39" ht="15.75" customHeight="1" x14ac:dyDescent="0.25">
      <c r="B50" s="1"/>
      <c r="C50" s="1"/>
      <c r="D50" s="1"/>
      <c r="E50" s="1"/>
      <c r="F50" s="1"/>
      <c r="G50" s="1"/>
      <c r="H50" s="1"/>
      <c r="I50" s="1"/>
      <c r="J50" s="223"/>
      <c r="K50" s="211"/>
      <c r="L50" s="211"/>
      <c r="M50" s="211"/>
      <c r="N50" s="211"/>
      <c r="O50" s="212"/>
      <c r="P50" s="223"/>
      <c r="Q50" s="211"/>
      <c r="R50" s="211"/>
      <c r="S50" s="211"/>
      <c r="T50" s="211"/>
      <c r="U50" s="212"/>
      <c r="V50" s="223"/>
      <c r="W50" s="211"/>
      <c r="X50" s="211"/>
      <c r="Y50" s="211"/>
      <c r="Z50" s="211"/>
      <c r="AA50" s="212"/>
      <c r="AB50" s="223"/>
      <c r="AC50" s="211"/>
      <c r="AD50" s="211"/>
      <c r="AE50" s="211"/>
      <c r="AF50" s="211"/>
      <c r="AG50" s="212"/>
      <c r="AH50" s="223"/>
      <c r="AI50" s="211"/>
      <c r="AJ50" s="211"/>
      <c r="AK50" s="211"/>
      <c r="AL50" s="211"/>
      <c r="AM50" s="212"/>
    </row>
    <row r="51" spans="2:39" ht="15.75" customHeight="1" x14ac:dyDescent="0.25">
      <c r="B51" s="1"/>
      <c r="C51" s="1"/>
      <c r="D51" s="1"/>
      <c r="E51" s="1"/>
      <c r="F51" s="1"/>
      <c r="G51" s="1"/>
      <c r="H51" s="1"/>
      <c r="I51" s="1"/>
      <c r="J51" s="257"/>
      <c r="K51" s="281"/>
      <c r="L51" s="281"/>
      <c r="M51" s="281"/>
      <c r="N51" s="281"/>
      <c r="O51" s="260"/>
      <c r="P51" s="257"/>
      <c r="Q51" s="281"/>
      <c r="R51" s="281"/>
      <c r="S51" s="281"/>
      <c r="T51" s="281"/>
      <c r="U51" s="260"/>
      <c r="V51" s="257"/>
      <c r="W51" s="281"/>
      <c r="X51" s="281"/>
      <c r="Y51" s="281"/>
      <c r="Z51" s="281"/>
      <c r="AA51" s="260"/>
      <c r="AB51" s="257"/>
      <c r="AC51" s="281"/>
      <c r="AD51" s="281"/>
      <c r="AE51" s="281"/>
      <c r="AF51" s="281"/>
      <c r="AG51" s="260"/>
      <c r="AH51" s="257"/>
      <c r="AI51" s="281"/>
      <c r="AJ51" s="281"/>
      <c r="AK51" s="281"/>
      <c r="AL51" s="281"/>
      <c r="AM51" s="260"/>
    </row>
  </sheetData>
  <mergeCells count="317">
    <mergeCell ref="Z34:AA35"/>
    <mergeCell ref="X30:Y31"/>
    <mergeCell ref="Z30:AA31"/>
    <mergeCell ref="AB30:AC31"/>
    <mergeCell ref="AD30:AE31"/>
    <mergeCell ref="AF30:AG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T30:U31"/>
    <mergeCell ref="V30:W31"/>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J26:AK27"/>
    <mergeCell ref="E14:I21"/>
    <mergeCell ref="J14:K15"/>
    <mergeCell ref="J16:K17"/>
    <mergeCell ref="J18:K19"/>
    <mergeCell ref="J20:K21"/>
    <mergeCell ref="P20:Q21"/>
    <mergeCell ref="R20:S21"/>
    <mergeCell ref="L22:M23"/>
    <mergeCell ref="N22:O23"/>
    <mergeCell ref="P22:Q23"/>
    <mergeCell ref="R22:S23"/>
    <mergeCell ref="E22:I29"/>
    <mergeCell ref="J28:K29"/>
    <mergeCell ref="J22:K23"/>
    <mergeCell ref="J24:K25"/>
    <mergeCell ref="J26:K27"/>
    <mergeCell ref="P24:Q25"/>
    <mergeCell ref="R24:S25"/>
    <mergeCell ref="AJ44:AK45"/>
    <mergeCell ref="AB46:AG51"/>
    <mergeCell ref="AH46:AM51"/>
    <mergeCell ref="AF44:AG45"/>
    <mergeCell ref="AH44:AI45"/>
    <mergeCell ref="T22:U23"/>
    <mergeCell ref="V22:W23"/>
    <mergeCell ref="X22:Y23"/>
    <mergeCell ref="Z22:AA23"/>
    <mergeCell ref="AB22:AC23"/>
    <mergeCell ref="AD22:AE23"/>
    <mergeCell ref="AF22:AG23"/>
    <mergeCell ref="AH22:AI23"/>
    <mergeCell ref="AF28:AG29"/>
    <mergeCell ref="AH28:AI29"/>
    <mergeCell ref="AJ28:AK29"/>
    <mergeCell ref="AL28:AM29"/>
    <mergeCell ref="AH24:AI25"/>
    <mergeCell ref="T24:U25"/>
    <mergeCell ref="V24:W25"/>
    <mergeCell ref="X24:Y25"/>
    <mergeCell ref="Z24:AA25"/>
    <mergeCell ref="AB24:AC25"/>
    <mergeCell ref="AJ22:AK23"/>
    <mergeCell ref="J46:O51"/>
    <mergeCell ref="P44:Q45"/>
    <mergeCell ref="R44:S45"/>
    <mergeCell ref="P46:U51"/>
    <mergeCell ref="T44:U45"/>
    <mergeCell ref="V44:W45"/>
    <mergeCell ref="X44:Y45"/>
    <mergeCell ref="Z44:AA45"/>
    <mergeCell ref="V46:AA51"/>
    <mergeCell ref="AD42:AE43"/>
    <mergeCell ref="AF42:AG43"/>
    <mergeCell ref="AH42:AI43"/>
    <mergeCell ref="AH36:AI37"/>
    <mergeCell ref="L28:M29"/>
    <mergeCell ref="AB28:AC29"/>
    <mergeCell ref="AD28:AE29"/>
    <mergeCell ref="P42:Q43"/>
    <mergeCell ref="R42:S43"/>
    <mergeCell ref="T42:U43"/>
    <mergeCell ref="V42:W43"/>
    <mergeCell ref="X42:Y43"/>
    <mergeCell ref="Z42:AA43"/>
    <mergeCell ref="AB42:AC43"/>
    <mergeCell ref="X40:Y41"/>
    <mergeCell ref="Z40:AA41"/>
    <mergeCell ref="AB40:AC41"/>
    <mergeCell ref="AD40:AE41"/>
    <mergeCell ref="AF40:AG41"/>
    <mergeCell ref="AH40:AI41"/>
    <mergeCell ref="AH30:AI31"/>
    <mergeCell ref="T34:U35"/>
    <mergeCell ref="V34:W35"/>
    <mergeCell ref="X34:Y35"/>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AL38:AM39"/>
    <mergeCell ref="L40:M41"/>
    <mergeCell ref="N40:O41"/>
    <mergeCell ref="P40:Q41"/>
    <mergeCell ref="R40:S41"/>
    <mergeCell ref="T40:U41"/>
    <mergeCell ref="V40:W41"/>
    <mergeCell ref="AJ40:AK41"/>
    <mergeCell ref="AL40:AM41"/>
    <mergeCell ref="T38:U39"/>
    <mergeCell ref="V38:W39"/>
    <mergeCell ref="X38:Y39"/>
    <mergeCell ref="Z38:AA39"/>
    <mergeCell ref="AB38:AC39"/>
    <mergeCell ref="AD38:AE39"/>
    <mergeCell ref="AF38:AG39"/>
    <mergeCell ref="AH38:AI39"/>
    <mergeCell ref="AJ38:AK39"/>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L42:M43"/>
    <mergeCell ref="N42:O43"/>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J8:K9"/>
    <mergeCell ref="L8:M9"/>
    <mergeCell ref="J12:K13"/>
    <mergeCell ref="L12:M13"/>
    <mergeCell ref="N12:O13"/>
    <mergeCell ref="P12:Q13"/>
    <mergeCell ref="R12:S13"/>
    <mergeCell ref="J6:K7"/>
    <mergeCell ref="J10:K11"/>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T61"/>
  <sheetViews>
    <sheetView topLeftCell="A40" zoomScale="50" zoomScaleNormal="50" workbookViewId="0">
      <selection activeCell="T46" sqref="T46"/>
    </sheetView>
  </sheetViews>
  <sheetFormatPr baseColWidth="10" defaultColWidth="12.625" defaultRowHeight="15" customHeight="1" x14ac:dyDescent="0.2"/>
  <cols>
    <col min="1" max="1" width="9.375" customWidth="1"/>
    <col min="2" max="18" width="5" customWidth="1"/>
    <col min="19" max="19" width="7.375" customWidth="1"/>
    <col min="20" max="23" width="5" customWidth="1"/>
    <col min="24" max="24" width="7.5" customWidth="1"/>
    <col min="25" max="26" width="5" customWidth="1"/>
    <col min="27" max="27" width="9.375" customWidth="1"/>
    <col min="28" max="28" width="5" customWidth="1"/>
    <col min="29" max="29" width="6.5" customWidth="1"/>
    <col min="30" max="33" width="5" customWidth="1"/>
    <col min="34" max="34" width="7.5" customWidth="1"/>
    <col min="35" max="39" width="5" customWidth="1"/>
    <col min="40" max="40" width="9.375" customWidth="1"/>
    <col min="41" max="46" width="5" customWidth="1"/>
    <col min="47" max="61" width="9.375" customWidth="1"/>
  </cols>
  <sheetData>
    <row r="2" spans="2:46" ht="18" customHeight="1" x14ac:dyDescent="0.25">
      <c r="B2" s="297" t="s">
        <v>109</v>
      </c>
      <c r="C2" s="211"/>
      <c r="D2" s="211"/>
      <c r="E2" s="211"/>
      <c r="F2" s="211"/>
      <c r="G2" s="211"/>
      <c r="H2" s="211"/>
      <c r="I2" s="211"/>
      <c r="J2" s="286" t="s">
        <v>15</v>
      </c>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48"/>
      <c r="AN2" s="1"/>
      <c r="AO2" s="1"/>
      <c r="AP2" s="1"/>
      <c r="AQ2" s="1"/>
      <c r="AR2" s="1"/>
      <c r="AS2" s="1"/>
      <c r="AT2" s="1"/>
    </row>
    <row r="3" spans="2:46" ht="18.75" customHeight="1" x14ac:dyDescent="0.25">
      <c r="B3" s="211"/>
      <c r="C3" s="211"/>
      <c r="D3" s="211"/>
      <c r="E3" s="211"/>
      <c r="F3" s="211"/>
      <c r="G3" s="211"/>
      <c r="H3" s="211"/>
      <c r="I3" s="211"/>
      <c r="J3" s="288"/>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89"/>
      <c r="AN3" s="1"/>
      <c r="AO3" s="1"/>
      <c r="AP3" s="1"/>
      <c r="AQ3" s="1"/>
      <c r="AR3" s="1"/>
      <c r="AS3" s="1"/>
      <c r="AT3" s="1"/>
    </row>
    <row r="4" spans="2:46" ht="15" customHeight="1" x14ac:dyDescent="0.25">
      <c r="B4" s="211"/>
      <c r="C4" s="211"/>
      <c r="D4" s="211"/>
      <c r="E4" s="211"/>
      <c r="F4" s="211"/>
      <c r="G4" s="211"/>
      <c r="H4" s="211"/>
      <c r="I4" s="211"/>
      <c r="J4" s="245"/>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50"/>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5">
      <c r="B6" s="291" t="s">
        <v>94</v>
      </c>
      <c r="C6" s="287"/>
      <c r="D6" s="244"/>
      <c r="E6" s="296" t="s">
        <v>95</v>
      </c>
      <c r="F6" s="280"/>
      <c r="G6" s="280"/>
      <c r="H6" s="280"/>
      <c r="I6" s="262"/>
      <c r="J6" s="15" t="str">
        <f>IF(AND('Mapa final'!$Y$16="Muy Alta",'Mapa final'!$AA$16="Leve"),CONCATENATE("R1C",'Mapa final'!$O$16),"")</f>
        <v/>
      </c>
      <c r="K6" s="16" t="str">
        <f>IF(AND('Mapa final'!$Y$17="Muy Alta",'Mapa final'!$AA$17="Leve"),CONCATENATE("R1C",'Mapa final'!$O$17),"")</f>
        <v/>
      </c>
      <c r="L6" s="16" t="str">
        <f>IF(AND('Mapa final'!$Y$18="Muy Alta",'Mapa final'!$AA$18="Leve"),CONCATENATE("R1C",'Mapa final'!$O$18),"")</f>
        <v/>
      </c>
      <c r="M6" s="16" t="e">
        <f>IF(AND('Mapa final'!#REF!="Muy Alta",'Mapa final'!#REF!="Leve"),CONCATENATE("R1C",'Mapa final'!#REF!),"")</f>
        <v>#REF!</v>
      </c>
      <c r="N6" s="16" t="e">
        <f>IF(AND('Mapa final'!#REF!="Muy Alta",'Mapa final'!#REF!="Leve"),CONCATENATE("R1C",'Mapa final'!#REF!),"")</f>
        <v>#REF!</v>
      </c>
      <c r="O6" s="17" t="e">
        <f>IF(AND('Mapa final'!#REF!="Muy Alta",'Mapa final'!#REF!="Leve"),CONCATENATE("R1C",'Mapa final'!#REF!),"")</f>
        <v>#REF!</v>
      </c>
      <c r="P6" s="15" t="str">
        <f>IF(AND('Mapa final'!$Y$16="Muy Alta",'Mapa final'!$AA$16="Menor"),CONCATENATE("R1C",'Mapa final'!$O$16),"")</f>
        <v/>
      </c>
      <c r="Q6" s="16" t="str">
        <f>IF(AND('Mapa final'!$Y$17="Muy Alta",'Mapa final'!$AA$17="Menor"),CONCATENATE("R1C",'Mapa final'!$O$17),"")</f>
        <v/>
      </c>
      <c r="R6" s="16" t="str">
        <f>IF(AND('Mapa final'!$Y$18="Muy Alta",'Mapa final'!$AA$18="Menor"),CONCATENATE("R1C",'Mapa final'!$O$18),"")</f>
        <v/>
      </c>
      <c r="S6" s="16" t="e">
        <f>IF(AND('Mapa final'!#REF!="Muy Alta",'Mapa final'!#REF!="Menor"),CONCATENATE("R1C",'Mapa final'!#REF!),"")</f>
        <v>#REF!</v>
      </c>
      <c r="T6" s="16" t="e">
        <f>IF(AND('Mapa final'!#REF!="Muy Alta",'Mapa final'!#REF!="Menor"),CONCATENATE("R1C",'Mapa final'!#REF!),"")</f>
        <v>#REF!</v>
      </c>
      <c r="U6" s="17" t="e">
        <f>IF(AND('Mapa final'!#REF!="Muy Alta",'Mapa final'!#REF!="Menor"),CONCATENATE("R1C",'Mapa final'!#REF!),"")</f>
        <v>#REF!</v>
      </c>
      <c r="V6" s="15" t="str">
        <f>IF(AND('Mapa final'!$Y$16="Muy Alta",'Mapa final'!$AA$16="Moderado"),CONCATENATE("R1C",'Mapa final'!$O$16),"")</f>
        <v/>
      </c>
      <c r="W6" s="16" t="str">
        <f>IF(AND('Mapa final'!$Y$17="Muy Alta",'Mapa final'!$AA$17="Moderado"),CONCATENATE("R1C",'Mapa final'!$O$17),"")</f>
        <v/>
      </c>
      <c r="X6" s="16" t="str">
        <f>IF(AND('Mapa final'!$Y$18="Muy Alta",'Mapa final'!$AA$18="Moderado"),CONCATENATE("R1C",'Mapa final'!$O$18),"")</f>
        <v/>
      </c>
      <c r="Y6" s="16" t="e">
        <f>IF(AND('Mapa final'!#REF!="Muy Alta",'Mapa final'!#REF!="Moderado"),CONCATENATE("R1C",'Mapa final'!#REF!),"")</f>
        <v>#REF!</v>
      </c>
      <c r="Z6" s="16" t="e">
        <f>IF(AND('Mapa final'!#REF!="Muy Alta",'Mapa final'!#REF!="Moderado"),CONCATENATE("R1C",'Mapa final'!#REF!),"")</f>
        <v>#REF!</v>
      </c>
      <c r="AA6" s="17" t="e">
        <f>IF(AND('Mapa final'!#REF!="Muy Alta",'Mapa final'!#REF!="Moderado"),CONCATENATE("R1C",'Mapa final'!#REF!),"")</f>
        <v>#REF!</v>
      </c>
      <c r="AB6" s="15" t="str">
        <f>IF(AND('Mapa final'!$Y$16="Muy Alta",'Mapa final'!$AA$16="Mayor"),CONCATENATE("R1C",'Mapa final'!$O$16),"")</f>
        <v/>
      </c>
      <c r="AC6" s="16" t="str">
        <f>IF(AND('Mapa final'!$Y$17="Muy Alta",'Mapa final'!$AA$17="Mayor"),CONCATENATE("R1C",'Mapa final'!$O$17),"")</f>
        <v/>
      </c>
      <c r="AD6" s="16" t="str">
        <f>IF(AND('Mapa final'!$Y$18="Muy Alta",'Mapa final'!$AA$18="Mayor"),CONCATENATE("R1C",'Mapa final'!$O$18),"")</f>
        <v/>
      </c>
      <c r="AE6" s="16" t="e">
        <f>IF(AND('Mapa final'!#REF!="Muy Alta",'Mapa final'!#REF!="Mayor"),CONCATENATE("R1C",'Mapa final'!#REF!),"")</f>
        <v>#REF!</v>
      </c>
      <c r="AF6" s="16" t="e">
        <f>IF(AND('Mapa final'!#REF!="Muy Alta",'Mapa final'!#REF!="Mayor"),CONCATENATE("R1C",'Mapa final'!#REF!),"")</f>
        <v>#REF!</v>
      </c>
      <c r="AG6" s="17" t="e">
        <f>IF(AND('Mapa final'!#REF!="Muy Alta",'Mapa final'!#REF!="Mayor"),CONCATENATE("R1C",'Mapa final'!#REF!),"")</f>
        <v>#REF!</v>
      </c>
      <c r="AH6" s="18" t="str">
        <f>IF(AND('Mapa final'!$Y$16="Muy Alta",'Mapa final'!$AA$16="Catastrófico"),CONCATENATE("R1C",'Mapa final'!$O$16),"")</f>
        <v/>
      </c>
      <c r="AI6" s="19" t="str">
        <f>IF(AND('Mapa final'!$Y$17="Muy Alta",'Mapa final'!$AA$17="Catastrófico"),CONCATENATE("R1C",'Mapa final'!$O$17),"")</f>
        <v/>
      </c>
      <c r="AJ6" s="19" t="str">
        <f>IF(AND('Mapa final'!$Y$18="Muy Alta",'Mapa final'!$AA$18="Catastrófico"),CONCATENATE("R1C",'Mapa final'!$O$18),"")</f>
        <v/>
      </c>
      <c r="AK6" s="19" t="e">
        <f>IF(AND('Mapa final'!#REF!="Muy Alta",'Mapa final'!#REF!="Catastrófico"),CONCATENATE("R1C",'Mapa final'!#REF!),"")</f>
        <v>#REF!</v>
      </c>
      <c r="AL6" s="19" t="e">
        <f>IF(AND('Mapa final'!#REF!="Muy Alta",'Mapa final'!#REF!="Catastrófico"),CONCATENATE("R1C",'Mapa final'!#REF!),"")</f>
        <v>#REF!</v>
      </c>
      <c r="AM6" s="20" t="e">
        <f>IF(AND('Mapa final'!#REF!="Muy Alta",'Mapa final'!#REF!="Catastrófico"),CONCATENATE("R1C",'Mapa final'!#REF!),"")</f>
        <v>#REF!</v>
      </c>
      <c r="AN6" s="1"/>
      <c r="AO6" s="294" t="s">
        <v>96</v>
      </c>
      <c r="AP6" s="269"/>
      <c r="AQ6" s="269"/>
      <c r="AR6" s="269"/>
      <c r="AS6" s="269"/>
      <c r="AT6" s="270"/>
    </row>
    <row r="7" spans="2:46" ht="15" customHeight="1" x14ac:dyDescent="0.25">
      <c r="B7" s="288"/>
      <c r="C7" s="211"/>
      <c r="D7" s="212"/>
      <c r="E7" s="223"/>
      <c r="F7" s="211"/>
      <c r="G7" s="211"/>
      <c r="H7" s="211"/>
      <c r="I7" s="212"/>
      <c r="J7" s="21" t="str">
        <f>IF(AND('Mapa final'!$Y$21="Muy Alta",'Mapa final'!$AA$21="Leve"),CONCATENATE("R2C",'Mapa final'!$O$21),"")</f>
        <v/>
      </c>
      <c r="K7" s="22" t="e">
        <f>IF(AND('Mapa final'!#REF!="Muy Alta",'Mapa final'!#REF!="Leve"),CONCATENATE("R2C",'Mapa final'!#REF!),"")</f>
        <v>#REF!</v>
      </c>
      <c r="L7" s="22" t="e">
        <f>IF(AND('Mapa final'!#REF!="Muy Alta",'Mapa final'!#REF!="Leve"),CONCATENATE("R2C",'Mapa final'!#REF!),"")</f>
        <v>#REF!</v>
      </c>
      <c r="M7" s="22" t="e">
        <f>IF(AND('Mapa final'!#REF!="Muy Alta",'Mapa final'!#REF!="Leve"),CONCATENATE("R2C",'Mapa final'!#REF!),"")</f>
        <v>#REF!</v>
      </c>
      <c r="N7" s="22" t="str">
        <f>IF(AND('Mapa final'!$Y$22="Muy Alta",'Mapa final'!$AA$22="Leve"),CONCATENATE("R2C",'Mapa final'!$O$22),"")</f>
        <v/>
      </c>
      <c r="O7" s="23" t="str">
        <f>IF(AND('Mapa final'!$Y$23="Muy Alta",'Mapa final'!$AA$23="Leve"),CONCATENATE("R2C",'Mapa final'!$O$23),"")</f>
        <v/>
      </c>
      <c r="P7" s="21" t="str">
        <f>IF(AND('Mapa final'!$Y$21="Muy Alta",'Mapa final'!$AA$21="Menor"),CONCATENATE("R2C",'Mapa final'!$O$21),"")</f>
        <v/>
      </c>
      <c r="Q7" s="22" t="e">
        <f>IF(AND('Mapa final'!#REF!="Muy Alta",'Mapa final'!#REF!="Menor"),CONCATENATE("R2C",'Mapa final'!#REF!),"")</f>
        <v>#REF!</v>
      </c>
      <c r="R7" s="22" t="e">
        <f>IF(AND('Mapa final'!#REF!="Muy Alta",'Mapa final'!#REF!="Menor"),CONCATENATE("R2C",'Mapa final'!#REF!),"")</f>
        <v>#REF!</v>
      </c>
      <c r="S7" s="22" t="e">
        <f>IF(AND('Mapa final'!#REF!="Muy Alta",'Mapa final'!#REF!="Menor"),CONCATENATE("R2C",'Mapa final'!#REF!),"")</f>
        <v>#REF!</v>
      </c>
      <c r="T7" s="22" t="str">
        <f>IF(AND('Mapa final'!$Y$22="Muy Alta",'Mapa final'!$AA$22="Menor"),CONCATENATE("R2C",'Mapa final'!$O$22),"")</f>
        <v/>
      </c>
      <c r="U7" s="23" t="str">
        <f>IF(AND('Mapa final'!$Y$23="Muy Alta",'Mapa final'!$AA$23="Menor"),CONCATENATE("R2C",'Mapa final'!$O$23),"")</f>
        <v/>
      </c>
      <c r="V7" s="21" t="str">
        <f>IF(AND('Mapa final'!$Y$21="Muy Alta",'Mapa final'!$AA$21="Moderado"),CONCATENATE("R2C",'Mapa final'!$O$21),"")</f>
        <v/>
      </c>
      <c r="W7" s="22" t="e">
        <f>IF(AND('Mapa final'!#REF!="Muy Alta",'Mapa final'!#REF!="Moderado"),CONCATENATE("R2C",'Mapa final'!#REF!),"")</f>
        <v>#REF!</v>
      </c>
      <c r="X7" s="22" t="e">
        <f>IF(AND('Mapa final'!#REF!="Muy Alta",'Mapa final'!#REF!="Moderado"),CONCATENATE("R2C",'Mapa final'!#REF!),"")</f>
        <v>#REF!</v>
      </c>
      <c r="Y7" s="22" t="e">
        <f>IF(AND('Mapa final'!#REF!="Muy Alta",'Mapa final'!#REF!="Moderado"),CONCATENATE("R2C",'Mapa final'!#REF!),"")</f>
        <v>#REF!</v>
      </c>
      <c r="Z7" s="22" t="str">
        <f>IF(AND('Mapa final'!$Y$22="Muy Alta",'Mapa final'!$AA$22="Moderado"),CONCATENATE("R2C",'Mapa final'!$O$22),"")</f>
        <v/>
      </c>
      <c r="AA7" s="23" t="str">
        <f>IF(AND('Mapa final'!$Y$23="Muy Alta",'Mapa final'!$AA$23="Moderado"),CONCATENATE("R2C",'Mapa final'!$O$23),"")</f>
        <v/>
      </c>
      <c r="AB7" s="21" t="str">
        <f>IF(AND('Mapa final'!$Y$21="Muy Alta",'Mapa final'!$AA$21="Mayor"),CONCATENATE("R2C",'Mapa final'!$O$21),"")</f>
        <v/>
      </c>
      <c r="AC7" s="22" t="e">
        <f>IF(AND('Mapa final'!#REF!="Muy Alta",'Mapa final'!#REF!="Mayor"),CONCATENATE("R2C",'Mapa final'!#REF!),"")</f>
        <v>#REF!</v>
      </c>
      <c r="AD7" s="22" t="e">
        <f>IF(AND('Mapa final'!#REF!="Muy Alta",'Mapa final'!#REF!="Mayor"),CONCATENATE("R2C",'Mapa final'!#REF!),"")</f>
        <v>#REF!</v>
      </c>
      <c r="AE7" s="22" t="e">
        <f>IF(AND('Mapa final'!#REF!="Muy Alta",'Mapa final'!#REF!="Mayor"),CONCATENATE("R2C",'Mapa final'!#REF!),"")</f>
        <v>#REF!</v>
      </c>
      <c r="AF7" s="22" t="str">
        <f>IF(AND('Mapa final'!$Y$22="Muy Alta",'Mapa final'!$AA$22="Mayor"),CONCATENATE("R2C",'Mapa final'!$O$22),"")</f>
        <v/>
      </c>
      <c r="AG7" s="23" t="str">
        <f>IF(AND('Mapa final'!$Y$23="Muy Alta",'Mapa final'!$AA$23="Mayor"),CONCATENATE("R2C",'Mapa final'!$O$23),"")</f>
        <v/>
      </c>
      <c r="AH7" s="24" t="str">
        <f>IF(AND('Mapa final'!$Y$21="Muy Alta",'Mapa final'!$AA$21="Catastrófico"),CONCATENATE("R2C",'Mapa final'!$O$21),"")</f>
        <v/>
      </c>
      <c r="AI7" s="25" t="e">
        <f>IF(AND('Mapa final'!#REF!="Muy Alta",'Mapa final'!#REF!="Catastrófico"),CONCATENATE("R2C",'Mapa final'!#REF!),"")</f>
        <v>#REF!</v>
      </c>
      <c r="AJ7" s="25" t="e">
        <f>IF(AND('Mapa final'!#REF!="Muy Alta",'Mapa final'!#REF!="Catastrófico"),CONCATENATE("R2C",'Mapa final'!#REF!),"")</f>
        <v>#REF!</v>
      </c>
      <c r="AK7" s="25" t="e">
        <f>IF(AND('Mapa final'!#REF!="Muy Alta",'Mapa final'!#REF!="Catastrófico"),CONCATENATE("R2C",'Mapa final'!#REF!),"")</f>
        <v>#REF!</v>
      </c>
      <c r="AL7" s="25" t="str">
        <f>IF(AND('Mapa final'!$Y$22="Muy Alta",'Mapa final'!$AA$22="Catastrófico"),CONCATENATE("R2C",'Mapa final'!$O$22),"")</f>
        <v/>
      </c>
      <c r="AM7" s="26" t="str">
        <f>IF(AND('Mapa final'!$Y$23="Muy Alta",'Mapa final'!$AA$23="Catastrófico"),CONCATENATE("R2C",'Mapa final'!$O$23),"")</f>
        <v/>
      </c>
      <c r="AN7" s="1"/>
      <c r="AO7" s="271"/>
      <c r="AP7" s="211"/>
      <c r="AQ7" s="211"/>
      <c r="AR7" s="211"/>
      <c r="AS7" s="211"/>
      <c r="AT7" s="272"/>
    </row>
    <row r="8" spans="2:46" ht="15" customHeight="1" x14ac:dyDescent="0.25">
      <c r="B8" s="288"/>
      <c r="C8" s="211"/>
      <c r="D8" s="212"/>
      <c r="E8" s="223"/>
      <c r="F8" s="211"/>
      <c r="G8" s="211"/>
      <c r="H8" s="211"/>
      <c r="I8" s="212"/>
      <c r="J8" s="21" t="str">
        <f>IF(AND('Mapa final'!$Y$26="Muy Alta",'Mapa final'!$AA$26="Leve"),CONCATENATE("R3C",'Mapa final'!$O$26),"")</f>
        <v/>
      </c>
      <c r="K8" s="22" t="str">
        <f>IF(AND('Mapa final'!$Y$27="Muy Alta",'Mapa final'!$AA$27="Leve"),CONCATENATE("R3C",'Mapa final'!$O$27),"")</f>
        <v/>
      </c>
      <c r="L8" s="22" t="str">
        <f>IF(AND('Mapa final'!$Y$28="Muy Alta",'Mapa final'!$AA$28="Leve"),CONCATENATE("R3C",'Mapa final'!$O$28),"")</f>
        <v/>
      </c>
      <c r="M8" s="22" t="e">
        <f>IF(AND('Mapa final'!#REF!="Muy Alta",'Mapa final'!#REF!="Leve"),CONCATENATE("R3C",'Mapa final'!#REF!),"")</f>
        <v>#REF!</v>
      </c>
      <c r="N8" s="22" t="e">
        <f>IF(AND('Mapa final'!#REF!="Muy Alta",'Mapa final'!#REF!="Leve"),CONCATENATE("R3C",'Mapa final'!#REF!),"")</f>
        <v>#REF!</v>
      </c>
      <c r="O8" s="23" t="e">
        <f>IF(AND('Mapa final'!#REF!="Muy Alta",'Mapa final'!#REF!="Leve"),CONCATENATE("R3C",'Mapa final'!#REF!),"")</f>
        <v>#REF!</v>
      </c>
      <c r="P8" s="21" t="str">
        <f>IF(AND('Mapa final'!$Y$26="Muy Alta",'Mapa final'!$AA$26="Menor"),CONCATENATE("R3C",'Mapa final'!$O$26),"")</f>
        <v/>
      </c>
      <c r="Q8" s="22" t="str">
        <f>IF(AND('Mapa final'!$Y$27="Muy Alta",'Mapa final'!$AA$27="Menor"),CONCATENATE("R3C",'Mapa final'!$O$27),"")</f>
        <v/>
      </c>
      <c r="R8" s="22" t="str">
        <f>IF(AND('Mapa final'!$Y$28="Muy Alta",'Mapa final'!$AA$28="Menor"),CONCATENATE("R3C",'Mapa final'!$O$28),"")</f>
        <v/>
      </c>
      <c r="S8" s="22" t="e">
        <f>IF(AND('Mapa final'!#REF!="Muy Alta",'Mapa final'!#REF!="Menor"),CONCATENATE("R3C",'Mapa final'!#REF!),"")</f>
        <v>#REF!</v>
      </c>
      <c r="T8" s="22" t="e">
        <f>IF(AND('Mapa final'!#REF!="Muy Alta",'Mapa final'!#REF!="Menor"),CONCATENATE("R3C",'Mapa final'!#REF!),"")</f>
        <v>#REF!</v>
      </c>
      <c r="U8" s="23" t="e">
        <f>IF(AND('Mapa final'!#REF!="Muy Alta",'Mapa final'!#REF!="Menor"),CONCATENATE("R3C",'Mapa final'!#REF!),"")</f>
        <v>#REF!</v>
      </c>
      <c r="V8" s="21" t="str">
        <f>IF(AND('Mapa final'!$Y$26="Muy Alta",'Mapa final'!$AA$26="Moderado"),CONCATENATE("R3C",'Mapa final'!$O$26),"")</f>
        <v/>
      </c>
      <c r="W8" s="22" t="str">
        <f>IF(AND('Mapa final'!$Y$27="Muy Alta",'Mapa final'!$AA$27="Moderado"),CONCATENATE("R3C",'Mapa final'!$O$27),"")</f>
        <v/>
      </c>
      <c r="X8" s="22" t="str">
        <f>IF(AND('Mapa final'!$Y$28="Muy Alta",'Mapa final'!$AA$28="Moderado"),CONCATENATE("R3C",'Mapa final'!$O$28),"")</f>
        <v/>
      </c>
      <c r="Y8" s="22" t="e">
        <f>IF(AND('Mapa final'!#REF!="Muy Alta",'Mapa final'!#REF!="Moderado"),CONCATENATE("R3C",'Mapa final'!#REF!),"")</f>
        <v>#REF!</v>
      </c>
      <c r="Z8" s="22" t="e">
        <f>IF(AND('Mapa final'!#REF!="Muy Alta",'Mapa final'!#REF!="Moderado"),CONCATENATE("R3C",'Mapa final'!#REF!),"")</f>
        <v>#REF!</v>
      </c>
      <c r="AA8" s="23" t="e">
        <f>IF(AND('Mapa final'!#REF!="Muy Alta",'Mapa final'!#REF!="Moderado"),CONCATENATE("R3C",'Mapa final'!#REF!),"")</f>
        <v>#REF!</v>
      </c>
      <c r="AB8" s="21" t="str">
        <f>IF(AND('Mapa final'!$Y$26="Muy Alta",'Mapa final'!$AA$26="Mayor"),CONCATENATE("R3C",'Mapa final'!$O$26),"")</f>
        <v/>
      </c>
      <c r="AC8" s="22" t="str">
        <f>IF(AND('Mapa final'!$Y$27="Muy Alta",'Mapa final'!$AA$27="Mayor"),CONCATENATE("R3C",'Mapa final'!$O$27),"")</f>
        <v/>
      </c>
      <c r="AD8" s="22" t="str">
        <f>IF(AND('Mapa final'!$Y$28="Muy Alta",'Mapa final'!$AA$28="Mayor"),CONCATENATE("R3C",'Mapa final'!$O$28),"")</f>
        <v/>
      </c>
      <c r="AE8" s="22" t="e">
        <f>IF(AND('Mapa final'!#REF!="Muy Alta",'Mapa final'!#REF!="Mayor"),CONCATENATE("R3C",'Mapa final'!#REF!),"")</f>
        <v>#REF!</v>
      </c>
      <c r="AF8" s="22" t="e">
        <f>IF(AND('Mapa final'!#REF!="Muy Alta",'Mapa final'!#REF!="Mayor"),CONCATENATE("R3C",'Mapa final'!#REF!),"")</f>
        <v>#REF!</v>
      </c>
      <c r="AG8" s="23" t="e">
        <f>IF(AND('Mapa final'!#REF!="Muy Alta",'Mapa final'!#REF!="Mayor"),CONCATENATE("R3C",'Mapa final'!#REF!),"")</f>
        <v>#REF!</v>
      </c>
      <c r="AH8" s="24" t="str">
        <f>IF(AND('Mapa final'!$Y$26="Muy Alta",'Mapa final'!$AA$26="Catastrófico"),CONCATENATE("R3C",'Mapa final'!$O$26),"")</f>
        <v/>
      </c>
      <c r="AI8" s="25" t="str">
        <f>IF(AND('Mapa final'!$Y$27="Muy Alta",'Mapa final'!$AA$27="Catastrófico"),CONCATENATE("R3C",'Mapa final'!$O$27),"")</f>
        <v/>
      </c>
      <c r="AJ8" s="25" t="str">
        <f>IF(AND('Mapa final'!$Y$28="Muy Alta",'Mapa final'!$AA$28="Catastrófico"),CONCATENATE("R3C",'Mapa final'!$O$28),"")</f>
        <v/>
      </c>
      <c r="AK8" s="25" t="e">
        <f>IF(AND('Mapa final'!#REF!="Muy Alta",'Mapa final'!#REF!="Catastrófico"),CONCATENATE("R3C",'Mapa final'!#REF!),"")</f>
        <v>#REF!</v>
      </c>
      <c r="AL8" s="25" t="e">
        <f>IF(AND('Mapa final'!#REF!="Muy Alta",'Mapa final'!#REF!="Catastrófico"),CONCATENATE("R3C",'Mapa final'!#REF!),"")</f>
        <v>#REF!</v>
      </c>
      <c r="AM8" s="26" t="e">
        <f>IF(AND('Mapa final'!#REF!="Muy Alta",'Mapa final'!#REF!="Catastrófico"),CONCATENATE("R3C",'Mapa final'!#REF!),"")</f>
        <v>#REF!</v>
      </c>
      <c r="AN8" s="1"/>
      <c r="AO8" s="271"/>
      <c r="AP8" s="211"/>
      <c r="AQ8" s="211"/>
      <c r="AR8" s="211"/>
      <c r="AS8" s="211"/>
      <c r="AT8" s="272"/>
    </row>
    <row r="9" spans="2:46" ht="15" customHeight="1" x14ac:dyDescent="0.25">
      <c r="B9" s="288"/>
      <c r="C9" s="211"/>
      <c r="D9" s="212"/>
      <c r="E9" s="223"/>
      <c r="F9" s="211"/>
      <c r="G9" s="211"/>
      <c r="H9" s="211"/>
      <c r="I9" s="212"/>
      <c r="J9" s="21" t="str">
        <f>IF(AND('Mapa final'!$Y$31="Muy Alta",'Mapa final'!$AA$31="Leve"),CONCATENATE("R4C",'Mapa final'!$O$31),"")</f>
        <v/>
      </c>
      <c r="K9" s="22" t="str">
        <f>IF(AND('Mapa final'!$Y$32="Muy Alta",'Mapa final'!$AA$32="Leve"),CONCATENATE("R4C",'Mapa final'!$O$32),"")</f>
        <v/>
      </c>
      <c r="L9" s="22" t="e">
        <f>IF(AND('Mapa final'!#REF!="Muy Alta",'Mapa final'!#REF!="Leve"),CONCATENATE("R4C",'Mapa final'!#REF!),"")</f>
        <v>#REF!</v>
      </c>
      <c r="M9" s="22" t="str">
        <f>IF(AND('Mapa final'!$Y$33="Muy Alta",'Mapa final'!$AA$33="Leve"),CONCATENATE("R4C",'Mapa final'!$O$33),"")</f>
        <v/>
      </c>
      <c r="N9" s="22" t="e">
        <f>IF(AND('Mapa final'!#REF!="Muy Alta",'Mapa final'!#REF!="Leve"),CONCATENATE("R4C",'Mapa final'!#REF!),"")</f>
        <v>#REF!</v>
      </c>
      <c r="O9" s="23" t="e">
        <f>IF(AND('Mapa final'!#REF!="Muy Alta",'Mapa final'!#REF!="Leve"),CONCATENATE("R4C",'Mapa final'!#REF!),"")</f>
        <v>#REF!</v>
      </c>
      <c r="P9" s="21" t="str">
        <f>IF(AND('Mapa final'!$Y$31="Muy Alta",'Mapa final'!$AA$31="Menor"),CONCATENATE("R4C",'Mapa final'!$O$31),"")</f>
        <v/>
      </c>
      <c r="Q9" s="22" t="str">
        <f>IF(AND('Mapa final'!$Y$32="Muy Alta",'Mapa final'!$AA$32="Menor"),CONCATENATE("R4C",'Mapa final'!$O$32),"")</f>
        <v/>
      </c>
      <c r="R9" s="22" t="e">
        <f>IF(AND('Mapa final'!#REF!="Muy Alta",'Mapa final'!#REF!="Menor"),CONCATENATE("R4C",'Mapa final'!#REF!),"")</f>
        <v>#REF!</v>
      </c>
      <c r="S9" s="22" t="str">
        <f>IF(AND('Mapa final'!$Y$33="Muy Alta",'Mapa final'!$AA$33="Menor"),CONCATENATE("R4C",'Mapa final'!$O$33),"")</f>
        <v/>
      </c>
      <c r="T9" s="22" t="e">
        <f>IF(AND('Mapa final'!#REF!="Muy Alta",'Mapa final'!#REF!="Menor"),CONCATENATE("R4C",'Mapa final'!#REF!),"")</f>
        <v>#REF!</v>
      </c>
      <c r="U9" s="23" t="e">
        <f>IF(AND('Mapa final'!#REF!="Muy Alta",'Mapa final'!#REF!="Menor"),CONCATENATE("R4C",'Mapa final'!#REF!),"")</f>
        <v>#REF!</v>
      </c>
      <c r="V9" s="21" t="str">
        <f>IF(AND('Mapa final'!$Y$31="Muy Alta",'Mapa final'!$AA$31="Moderado"),CONCATENATE("R4C",'Mapa final'!$O$31),"")</f>
        <v/>
      </c>
      <c r="W9" s="22" t="str">
        <f>IF(AND('Mapa final'!$Y$32="Muy Alta",'Mapa final'!$AA$32="Moderado"),CONCATENATE("R4C",'Mapa final'!$O$32),"")</f>
        <v/>
      </c>
      <c r="X9" s="22" t="e">
        <f>IF(AND('Mapa final'!#REF!="Muy Alta",'Mapa final'!#REF!="Moderado"),CONCATENATE("R4C",'Mapa final'!#REF!),"")</f>
        <v>#REF!</v>
      </c>
      <c r="Y9" s="22" t="str">
        <f>IF(AND('Mapa final'!$Y$33="Muy Alta",'Mapa final'!$AA$33="Moderado"),CONCATENATE("R4C",'Mapa final'!$O$33),"")</f>
        <v/>
      </c>
      <c r="Z9" s="22" t="e">
        <f>IF(AND('Mapa final'!#REF!="Muy Alta",'Mapa final'!#REF!="Moderado"),CONCATENATE("R4C",'Mapa final'!#REF!),"")</f>
        <v>#REF!</v>
      </c>
      <c r="AA9" s="23" t="e">
        <f>IF(AND('Mapa final'!#REF!="Muy Alta",'Mapa final'!#REF!="Moderado"),CONCATENATE("R4C",'Mapa final'!#REF!),"")</f>
        <v>#REF!</v>
      </c>
      <c r="AB9" s="21" t="str">
        <f>IF(AND('Mapa final'!$Y$31="Muy Alta",'Mapa final'!$AA$31="Mayor"),CONCATENATE("R4C",'Mapa final'!$O$31),"")</f>
        <v/>
      </c>
      <c r="AC9" s="22" t="str">
        <f>IF(AND('Mapa final'!$Y$32="Muy Alta",'Mapa final'!$AA$32="Mayor"),CONCATENATE("R4C",'Mapa final'!$O$32),"")</f>
        <v/>
      </c>
      <c r="AD9" s="22" t="e">
        <f>IF(AND('Mapa final'!#REF!="Muy Alta",'Mapa final'!#REF!="Mayor"),CONCATENATE("R4C",'Mapa final'!#REF!),"")</f>
        <v>#REF!</v>
      </c>
      <c r="AE9" s="22" t="str">
        <f>IF(AND('Mapa final'!$Y$33="Muy Alta",'Mapa final'!$AA$33="Mayor"),CONCATENATE("R4C",'Mapa final'!$O$33),"")</f>
        <v/>
      </c>
      <c r="AF9" s="22" t="e">
        <f>IF(AND('Mapa final'!#REF!="Muy Alta",'Mapa final'!#REF!="Mayor"),CONCATENATE("R4C",'Mapa final'!#REF!),"")</f>
        <v>#REF!</v>
      </c>
      <c r="AG9" s="23" t="e">
        <f>IF(AND('Mapa final'!#REF!="Muy Alta",'Mapa final'!#REF!="Mayor"),CONCATENATE("R4C",'Mapa final'!#REF!),"")</f>
        <v>#REF!</v>
      </c>
      <c r="AH9" s="24" t="str">
        <f>IF(AND('Mapa final'!$Y$31="Muy Alta",'Mapa final'!$AA$31="Catastrófico"),CONCATENATE("R4C",'Mapa final'!$O$31),"")</f>
        <v/>
      </c>
      <c r="AI9" s="25" t="str">
        <f>IF(AND('Mapa final'!$Y$32="Muy Alta",'Mapa final'!$AA$32="Catastrófico"),CONCATENATE("R4C",'Mapa final'!$O$32),"")</f>
        <v/>
      </c>
      <c r="AJ9" s="25" t="e">
        <f>IF(AND('Mapa final'!#REF!="Muy Alta",'Mapa final'!#REF!="Catastrófico"),CONCATENATE("R4C",'Mapa final'!#REF!),"")</f>
        <v>#REF!</v>
      </c>
      <c r="AK9" s="25" t="str">
        <f>IF(AND('Mapa final'!$Y$33="Muy Alta",'Mapa final'!$AA$33="Catastrófico"),CONCATENATE("R4C",'Mapa final'!$O$33),"")</f>
        <v/>
      </c>
      <c r="AL9" s="25" t="e">
        <f>IF(AND('Mapa final'!#REF!="Muy Alta",'Mapa final'!#REF!="Catastrófico"),CONCATENATE("R4C",'Mapa final'!#REF!),"")</f>
        <v>#REF!</v>
      </c>
      <c r="AM9" s="26" t="e">
        <f>IF(AND('Mapa final'!#REF!="Muy Alta",'Mapa final'!#REF!="Catastrófico"),CONCATENATE("R4C",'Mapa final'!#REF!),"")</f>
        <v>#REF!</v>
      </c>
      <c r="AN9" s="1"/>
      <c r="AO9" s="271"/>
      <c r="AP9" s="211"/>
      <c r="AQ9" s="211"/>
      <c r="AR9" s="211"/>
      <c r="AS9" s="211"/>
      <c r="AT9" s="272"/>
    </row>
    <row r="10" spans="2:46" ht="15" customHeight="1" x14ac:dyDescent="0.25">
      <c r="B10" s="288"/>
      <c r="C10" s="211"/>
      <c r="D10" s="212"/>
      <c r="E10" s="223"/>
      <c r="F10" s="211"/>
      <c r="G10" s="211"/>
      <c r="H10" s="211"/>
      <c r="I10" s="212"/>
      <c r="J10" s="21" t="str">
        <f>IF(AND('Mapa final'!$Y$36="Muy Alta",'Mapa final'!$AA$36="Leve"),CONCATENATE("R5C",'Mapa final'!$O$36),"")</f>
        <v/>
      </c>
      <c r="K10" s="22" t="str">
        <f>IF(AND('Mapa final'!$Y$37="Muy Alta",'Mapa final'!$AA$37="Leve"),CONCATENATE("R5C",'Mapa final'!$O$37),"")</f>
        <v/>
      </c>
      <c r="L10" s="22" t="str">
        <f>IF(AND('Mapa final'!$Y$38="Muy Alta",'Mapa final'!$AA$38="Leve"),CONCATENATE("R5C",'Mapa final'!$O$38),"")</f>
        <v/>
      </c>
      <c r="M10" s="22" t="e">
        <f>IF(AND('Mapa final'!#REF!="Muy Alta",'Mapa final'!#REF!="Leve"),CONCATENATE("R5C",'Mapa final'!#REF!),"")</f>
        <v>#REF!</v>
      </c>
      <c r="N10" s="22" t="e">
        <f>IF(AND('Mapa final'!#REF!="Muy Alta",'Mapa final'!#REF!="Leve"),CONCATENATE("R5C",'Mapa final'!#REF!),"")</f>
        <v>#REF!</v>
      </c>
      <c r="O10" s="23" t="e">
        <f>IF(AND('Mapa final'!#REF!="Muy Alta",'Mapa final'!#REF!="Leve"),CONCATENATE("R5C",'Mapa final'!#REF!),"")</f>
        <v>#REF!</v>
      </c>
      <c r="P10" s="21" t="str">
        <f>IF(AND('Mapa final'!$Y$36="Muy Alta",'Mapa final'!$AA$36="Menor"),CONCATENATE("R5C",'Mapa final'!$O$36),"")</f>
        <v/>
      </c>
      <c r="Q10" s="22" t="str">
        <f>IF(AND('Mapa final'!$Y$37="Muy Alta",'Mapa final'!$AA$37="Menor"),CONCATENATE("R5C",'Mapa final'!$O$37),"")</f>
        <v/>
      </c>
      <c r="R10" s="22" t="str">
        <f>IF(AND('Mapa final'!$Y$38="Muy Alta",'Mapa final'!$AA$38="Menor"),CONCATENATE("R5C",'Mapa final'!$O$38),"")</f>
        <v/>
      </c>
      <c r="S10" s="22" t="e">
        <f>IF(AND('Mapa final'!#REF!="Muy Alta",'Mapa final'!#REF!="Menor"),CONCATENATE("R5C",'Mapa final'!#REF!),"")</f>
        <v>#REF!</v>
      </c>
      <c r="T10" s="22" t="e">
        <f>IF(AND('Mapa final'!#REF!="Muy Alta",'Mapa final'!#REF!="Menor"),CONCATENATE("R5C",'Mapa final'!#REF!),"")</f>
        <v>#REF!</v>
      </c>
      <c r="U10" s="23" t="e">
        <f>IF(AND('Mapa final'!#REF!="Muy Alta",'Mapa final'!#REF!="Menor"),CONCATENATE("R5C",'Mapa final'!#REF!),"")</f>
        <v>#REF!</v>
      </c>
      <c r="V10" s="21" t="str">
        <f>IF(AND('Mapa final'!$Y$36="Muy Alta",'Mapa final'!$AA$36="Moderado"),CONCATENATE("R5C",'Mapa final'!$O$36),"")</f>
        <v/>
      </c>
      <c r="W10" s="22" t="str">
        <f>IF(AND('Mapa final'!$Y$37="Muy Alta",'Mapa final'!$AA$37="Moderado"),CONCATENATE("R5C",'Mapa final'!$O$37),"")</f>
        <v/>
      </c>
      <c r="X10" s="22" t="str">
        <f>IF(AND('Mapa final'!$Y$38="Muy Alta",'Mapa final'!$AA$38="Moderado"),CONCATENATE("R5C",'Mapa final'!$O$38),"")</f>
        <v/>
      </c>
      <c r="Y10" s="22" t="e">
        <f>IF(AND('Mapa final'!#REF!="Muy Alta",'Mapa final'!#REF!="Moderado"),CONCATENATE("R5C",'Mapa final'!#REF!),"")</f>
        <v>#REF!</v>
      </c>
      <c r="Z10" s="22" t="e">
        <f>IF(AND('Mapa final'!#REF!="Muy Alta",'Mapa final'!#REF!="Moderado"),CONCATENATE("R5C",'Mapa final'!#REF!),"")</f>
        <v>#REF!</v>
      </c>
      <c r="AA10" s="23" t="e">
        <f>IF(AND('Mapa final'!#REF!="Muy Alta",'Mapa final'!#REF!="Moderado"),CONCATENATE("R5C",'Mapa final'!#REF!),"")</f>
        <v>#REF!</v>
      </c>
      <c r="AB10" s="21" t="str">
        <f>IF(AND('Mapa final'!$Y$36="Muy Alta",'Mapa final'!$AA$36="Mayor"),CONCATENATE("R5C",'Mapa final'!$O$36),"")</f>
        <v/>
      </c>
      <c r="AC10" s="22" t="str">
        <f>IF(AND('Mapa final'!$Y$37="Muy Alta",'Mapa final'!$AA$37="Mayor"),CONCATENATE("R5C",'Mapa final'!$O$37),"")</f>
        <v/>
      </c>
      <c r="AD10" s="22" t="str">
        <f>IF(AND('Mapa final'!$Y$38="Muy Alta",'Mapa final'!$AA$38="Mayor"),CONCATENATE("R5C",'Mapa final'!$O$38),"")</f>
        <v/>
      </c>
      <c r="AE10" s="22" t="e">
        <f>IF(AND('Mapa final'!#REF!="Muy Alta",'Mapa final'!#REF!="Mayor"),CONCATENATE("R5C",'Mapa final'!#REF!),"")</f>
        <v>#REF!</v>
      </c>
      <c r="AF10" s="22" t="e">
        <f>IF(AND('Mapa final'!#REF!="Muy Alta",'Mapa final'!#REF!="Mayor"),CONCATENATE("R5C",'Mapa final'!#REF!),"")</f>
        <v>#REF!</v>
      </c>
      <c r="AG10" s="23" t="e">
        <f>IF(AND('Mapa final'!#REF!="Muy Alta",'Mapa final'!#REF!="Mayor"),CONCATENATE("R5C",'Mapa final'!#REF!),"")</f>
        <v>#REF!</v>
      </c>
      <c r="AH10" s="24" t="str">
        <f>IF(AND('Mapa final'!$Y$36="Muy Alta",'Mapa final'!$AA$36="Catastrófico"),CONCATENATE("R5C",'Mapa final'!$O$36),"")</f>
        <v/>
      </c>
      <c r="AI10" s="25" t="str">
        <f>IF(AND('Mapa final'!$Y$37="Muy Alta",'Mapa final'!$AA$37="Catastrófico"),CONCATENATE("R5C",'Mapa final'!$O$37),"")</f>
        <v/>
      </c>
      <c r="AJ10" s="25" t="str">
        <f>IF(AND('Mapa final'!$Y$38="Muy Alta",'Mapa final'!$AA$38="Catastrófico"),CONCATENATE("R5C",'Mapa final'!$O$38),"")</f>
        <v/>
      </c>
      <c r="AK10" s="25" t="e">
        <f>IF(AND('Mapa final'!#REF!="Muy Alta",'Mapa final'!#REF!="Catastrófico"),CONCATENATE("R5C",'Mapa final'!#REF!),"")</f>
        <v>#REF!</v>
      </c>
      <c r="AL10" s="25" t="e">
        <f>IF(AND('Mapa final'!#REF!="Muy Alta",'Mapa final'!#REF!="Catastrófico"),CONCATENATE("R5C",'Mapa final'!#REF!),"")</f>
        <v>#REF!</v>
      </c>
      <c r="AM10" s="26" t="e">
        <f>IF(AND('Mapa final'!#REF!="Muy Alta",'Mapa final'!#REF!="Catastrófico"),CONCATENATE("R5C",'Mapa final'!#REF!),"")</f>
        <v>#REF!</v>
      </c>
      <c r="AN10" s="1"/>
      <c r="AO10" s="271"/>
      <c r="AP10" s="211"/>
      <c r="AQ10" s="211"/>
      <c r="AR10" s="211"/>
      <c r="AS10" s="211"/>
      <c r="AT10" s="272"/>
    </row>
    <row r="11" spans="2:46" ht="15" customHeight="1" x14ac:dyDescent="0.25">
      <c r="B11" s="288"/>
      <c r="C11" s="211"/>
      <c r="D11" s="212"/>
      <c r="E11" s="223"/>
      <c r="F11" s="211"/>
      <c r="G11" s="211"/>
      <c r="H11" s="211"/>
      <c r="I11" s="212"/>
      <c r="J11" s="21" t="str">
        <f>IF(AND('Mapa final'!$Y$41="Muy Alta",'Mapa final'!$AA$41="Leve"),CONCATENATE("R6C",'Mapa final'!$O$41),"")</f>
        <v/>
      </c>
      <c r="K11" s="22" t="str">
        <f>IF(AND('Mapa final'!$Y$42="Muy Alta",'Mapa final'!$AA$42="Leve"),CONCATENATE("R6C",'Mapa final'!$O$42),"")</f>
        <v/>
      </c>
      <c r="L11" s="22" t="str">
        <f>IF(AND('Mapa final'!$Y$43="Muy Alta",'Mapa final'!$AA$43="Leve"),CONCATENATE("R6C",'Mapa final'!$O$43),"")</f>
        <v/>
      </c>
      <c r="M11" s="22" t="e">
        <f>IF(AND('Mapa final'!#REF!="Muy Alta",'Mapa final'!#REF!="Leve"),CONCATENATE("R6C",'Mapa final'!#REF!),"")</f>
        <v>#REF!</v>
      </c>
      <c r="N11" s="22" t="e">
        <f>IF(AND('Mapa final'!#REF!="Muy Alta",'Mapa final'!#REF!="Leve"),CONCATENATE("R6C",'Mapa final'!#REF!),"")</f>
        <v>#REF!</v>
      </c>
      <c r="O11" s="23" t="e">
        <f>IF(AND('Mapa final'!#REF!="Muy Alta",'Mapa final'!#REF!="Leve"),CONCATENATE("R6C",'Mapa final'!#REF!),"")</f>
        <v>#REF!</v>
      </c>
      <c r="P11" s="21" t="str">
        <f>IF(AND('Mapa final'!$Y$41="Muy Alta",'Mapa final'!$AA$41="Menor"),CONCATENATE("R6C",'Mapa final'!$O$41),"")</f>
        <v/>
      </c>
      <c r="Q11" s="22" t="str">
        <f>IF(AND('Mapa final'!$Y$42="Muy Alta",'Mapa final'!$AA$42="Menor"),CONCATENATE("R6C",'Mapa final'!$O$42),"")</f>
        <v/>
      </c>
      <c r="R11" s="22" t="str">
        <f>IF(AND('Mapa final'!$Y$43="Muy Alta",'Mapa final'!$AA$43="Menor"),CONCATENATE("R6C",'Mapa final'!$O$43),"")</f>
        <v/>
      </c>
      <c r="S11" s="22" t="e">
        <f>IF(AND('Mapa final'!#REF!="Muy Alta",'Mapa final'!#REF!="Menor"),CONCATENATE("R6C",'Mapa final'!#REF!),"")</f>
        <v>#REF!</v>
      </c>
      <c r="T11" s="22" t="e">
        <f>IF(AND('Mapa final'!#REF!="Muy Alta",'Mapa final'!#REF!="Menor"),CONCATENATE("R6C",'Mapa final'!#REF!),"")</f>
        <v>#REF!</v>
      </c>
      <c r="U11" s="23" t="e">
        <f>IF(AND('Mapa final'!#REF!="Muy Alta",'Mapa final'!#REF!="Menor"),CONCATENATE("R6C",'Mapa final'!#REF!),"")</f>
        <v>#REF!</v>
      </c>
      <c r="V11" s="21" t="str">
        <f>IF(AND('Mapa final'!$Y$41="Muy Alta",'Mapa final'!$AA$41="Moderado"),CONCATENATE("R6C",'Mapa final'!$O$41),"")</f>
        <v/>
      </c>
      <c r="W11" s="22" t="str">
        <f>IF(AND('Mapa final'!$Y$42="Muy Alta",'Mapa final'!$AA$42="Moderado"),CONCATENATE("R6C",'Mapa final'!$O$42),"")</f>
        <v/>
      </c>
      <c r="X11" s="22" t="str">
        <f>IF(AND('Mapa final'!$Y$43="Muy Alta",'Mapa final'!$AA$43="Moderado"),CONCATENATE("R6C",'Mapa final'!$O$43),"")</f>
        <v/>
      </c>
      <c r="Y11" s="22" t="e">
        <f>IF(AND('Mapa final'!#REF!="Muy Alta",'Mapa final'!#REF!="Moderado"),CONCATENATE("R6C",'Mapa final'!#REF!),"")</f>
        <v>#REF!</v>
      </c>
      <c r="Z11" s="22" t="e">
        <f>IF(AND('Mapa final'!#REF!="Muy Alta",'Mapa final'!#REF!="Moderado"),CONCATENATE("R6C",'Mapa final'!#REF!),"")</f>
        <v>#REF!</v>
      </c>
      <c r="AA11" s="23" t="e">
        <f>IF(AND('Mapa final'!#REF!="Muy Alta",'Mapa final'!#REF!="Moderado"),CONCATENATE("R6C",'Mapa final'!#REF!),"")</f>
        <v>#REF!</v>
      </c>
      <c r="AB11" s="21" t="str">
        <f>IF(AND('Mapa final'!$Y$41="Muy Alta",'Mapa final'!$AA$41="Mayor"),CONCATENATE("R6C",'Mapa final'!$O$41),"")</f>
        <v/>
      </c>
      <c r="AC11" s="22" t="str">
        <f>IF(AND('Mapa final'!$Y$42="Muy Alta",'Mapa final'!$AA$42="Mayor"),CONCATENATE("R6C",'Mapa final'!$O$42),"")</f>
        <v/>
      </c>
      <c r="AD11" s="22" t="str">
        <f>IF(AND('Mapa final'!$Y$43="Muy Alta",'Mapa final'!$AA$43="Mayor"),CONCATENATE("R6C",'Mapa final'!$O$43),"")</f>
        <v/>
      </c>
      <c r="AE11" s="22" t="e">
        <f>IF(AND('Mapa final'!#REF!="Muy Alta",'Mapa final'!#REF!="Mayor"),CONCATENATE("R6C",'Mapa final'!#REF!),"")</f>
        <v>#REF!</v>
      </c>
      <c r="AF11" s="22" t="e">
        <f>IF(AND('Mapa final'!#REF!="Muy Alta",'Mapa final'!#REF!="Mayor"),CONCATENATE("R6C",'Mapa final'!#REF!),"")</f>
        <v>#REF!</v>
      </c>
      <c r="AG11" s="23" t="e">
        <f>IF(AND('Mapa final'!#REF!="Muy Alta",'Mapa final'!#REF!="Mayor"),CONCATENATE("R6C",'Mapa final'!#REF!),"")</f>
        <v>#REF!</v>
      </c>
      <c r="AH11" s="24" t="str">
        <f>IF(AND('Mapa final'!$Y$41="Muy Alta",'Mapa final'!$AA$41="Catastrófico"),CONCATENATE("R6C",'Mapa final'!$O$41),"")</f>
        <v/>
      </c>
      <c r="AI11" s="25" t="str">
        <f>IF(AND('Mapa final'!$Y$42="Muy Alta",'Mapa final'!$AA$42="Catastrófico"),CONCATENATE("R6C",'Mapa final'!$O$42),"")</f>
        <v/>
      </c>
      <c r="AJ11" s="25" t="str">
        <f>IF(AND('Mapa final'!$Y$43="Muy Alta",'Mapa final'!$AA$43="Catastrófico"),CONCATENATE("R6C",'Mapa final'!$O$43),"")</f>
        <v/>
      </c>
      <c r="AK11" s="25" t="e">
        <f>IF(AND('Mapa final'!#REF!="Muy Alta",'Mapa final'!#REF!="Catastrófico"),CONCATENATE("R6C",'Mapa final'!#REF!),"")</f>
        <v>#REF!</v>
      </c>
      <c r="AL11" s="25" t="e">
        <f>IF(AND('Mapa final'!#REF!="Muy Alta",'Mapa final'!#REF!="Catastrófico"),CONCATENATE("R6C",'Mapa final'!#REF!),"")</f>
        <v>#REF!</v>
      </c>
      <c r="AM11" s="26" t="e">
        <f>IF(AND('Mapa final'!#REF!="Muy Alta",'Mapa final'!#REF!="Catastrófico"),CONCATENATE("R6C",'Mapa final'!#REF!),"")</f>
        <v>#REF!</v>
      </c>
      <c r="AN11" s="1"/>
      <c r="AO11" s="271"/>
      <c r="AP11" s="211"/>
      <c r="AQ11" s="211"/>
      <c r="AR11" s="211"/>
      <c r="AS11" s="211"/>
      <c r="AT11" s="272"/>
    </row>
    <row r="12" spans="2:46" ht="15" customHeight="1" x14ac:dyDescent="0.25">
      <c r="B12" s="288"/>
      <c r="C12" s="211"/>
      <c r="D12" s="212"/>
      <c r="E12" s="223"/>
      <c r="F12" s="211"/>
      <c r="G12" s="211"/>
      <c r="H12" s="211"/>
      <c r="I12" s="212"/>
      <c r="J12" s="21" t="e">
        <f>IF(AND('Mapa final'!#REF!="Muy Alta",'Mapa final'!#REF!="Leve"),CONCATENATE("R7C",'Mapa final'!#REF!),"")</f>
        <v>#REF!</v>
      </c>
      <c r="K12" s="22" t="e">
        <f>IF(AND('Mapa final'!#REF!="Muy Alta",'Mapa final'!#REF!="Leve"),CONCATENATE("R7C",'Mapa final'!#REF!),"")</f>
        <v>#REF!</v>
      </c>
      <c r="L12" s="22" t="e">
        <f>IF(AND('Mapa final'!#REF!="Muy Alta",'Mapa final'!#REF!="Leve"),CONCATENATE("R7C",'Mapa final'!#REF!),"")</f>
        <v>#REF!</v>
      </c>
      <c r="M12" s="22" t="e">
        <f>IF(AND('Mapa final'!#REF!="Muy Alta",'Mapa final'!#REF!="Leve"),CONCATENATE("R7C",'Mapa final'!#REF!),"")</f>
        <v>#REF!</v>
      </c>
      <c r="N12" s="22" t="e">
        <f>IF(AND('Mapa final'!#REF!="Muy Alta",'Mapa final'!#REF!="Leve"),CONCATENATE("R7C",'Mapa final'!#REF!),"")</f>
        <v>#REF!</v>
      </c>
      <c r="O12" s="23" t="e">
        <f>IF(AND('Mapa final'!#REF!="Muy Alta",'Mapa final'!#REF!="Leve"),CONCATENATE("R7C",'Mapa final'!#REF!),"")</f>
        <v>#REF!</v>
      </c>
      <c r="P12" s="21" t="e">
        <f>IF(AND('Mapa final'!#REF!="Muy Alta",'Mapa final'!#REF!="Menor"),CONCATENATE("R7C",'Mapa final'!#REF!),"")</f>
        <v>#REF!</v>
      </c>
      <c r="Q12" s="22" t="e">
        <f>IF(AND('Mapa final'!#REF!="Muy Alta",'Mapa final'!#REF!="Menor"),CONCATENATE("R7C",'Mapa final'!#REF!),"")</f>
        <v>#REF!</v>
      </c>
      <c r="R12" s="22" t="e">
        <f>IF(AND('Mapa final'!#REF!="Muy Alta",'Mapa final'!#REF!="Menor"),CONCATENATE("R7C",'Mapa final'!#REF!),"")</f>
        <v>#REF!</v>
      </c>
      <c r="S12" s="22" t="e">
        <f>IF(AND('Mapa final'!#REF!="Muy Alta",'Mapa final'!#REF!="Menor"),CONCATENATE("R7C",'Mapa final'!#REF!),"")</f>
        <v>#REF!</v>
      </c>
      <c r="T12" s="22" t="e">
        <f>IF(AND('Mapa final'!#REF!="Muy Alta",'Mapa final'!#REF!="Menor"),CONCATENATE("R7C",'Mapa final'!#REF!),"")</f>
        <v>#REF!</v>
      </c>
      <c r="U12" s="23" t="e">
        <f>IF(AND('Mapa final'!#REF!="Muy Alta",'Mapa final'!#REF!="Menor"),CONCATENATE("R7C",'Mapa final'!#REF!),"")</f>
        <v>#REF!</v>
      </c>
      <c r="V12" s="21" t="e">
        <f>IF(AND('Mapa final'!#REF!="Muy Alta",'Mapa final'!#REF!="Moderado"),CONCATENATE("R7C",'Mapa final'!#REF!),"")</f>
        <v>#REF!</v>
      </c>
      <c r="W12" s="22" t="e">
        <f>IF(AND('Mapa final'!#REF!="Muy Alta",'Mapa final'!#REF!="Moderado"),CONCATENATE("R7C",'Mapa final'!#REF!),"")</f>
        <v>#REF!</v>
      </c>
      <c r="X12" s="22" t="e">
        <f>IF(AND('Mapa final'!#REF!="Muy Alta",'Mapa final'!#REF!="Moderado"),CONCATENATE("R7C",'Mapa final'!#REF!),"")</f>
        <v>#REF!</v>
      </c>
      <c r="Y12" s="22" t="e">
        <f>IF(AND('Mapa final'!#REF!="Muy Alta",'Mapa final'!#REF!="Moderado"),CONCATENATE("R7C",'Mapa final'!#REF!),"")</f>
        <v>#REF!</v>
      </c>
      <c r="Z12" s="22" t="e">
        <f>IF(AND('Mapa final'!#REF!="Muy Alta",'Mapa final'!#REF!="Moderado"),CONCATENATE("R7C",'Mapa final'!#REF!),"")</f>
        <v>#REF!</v>
      </c>
      <c r="AA12" s="23" t="e">
        <f>IF(AND('Mapa final'!#REF!="Muy Alta",'Mapa final'!#REF!="Moderado"),CONCATENATE("R7C",'Mapa final'!#REF!),"")</f>
        <v>#REF!</v>
      </c>
      <c r="AB12" s="21" t="e">
        <f>IF(AND('Mapa final'!#REF!="Muy Alta",'Mapa final'!#REF!="Mayor"),CONCATENATE("R7C",'Mapa final'!#REF!),"")</f>
        <v>#REF!</v>
      </c>
      <c r="AC12" s="22" t="e">
        <f>IF(AND('Mapa final'!#REF!="Muy Alta",'Mapa final'!#REF!="Mayor"),CONCATENATE("R7C",'Mapa final'!#REF!),"")</f>
        <v>#REF!</v>
      </c>
      <c r="AD12" s="22" t="e">
        <f>IF(AND('Mapa final'!#REF!="Muy Alta",'Mapa final'!#REF!="Mayor"),CONCATENATE("R7C",'Mapa final'!#REF!),"")</f>
        <v>#REF!</v>
      </c>
      <c r="AE12" s="22" t="e">
        <f>IF(AND('Mapa final'!#REF!="Muy Alta",'Mapa final'!#REF!="Mayor"),CONCATENATE("R7C",'Mapa final'!#REF!),"")</f>
        <v>#REF!</v>
      </c>
      <c r="AF12" s="22" t="e">
        <f>IF(AND('Mapa final'!#REF!="Muy Alta",'Mapa final'!#REF!="Mayor"),CONCATENATE("R7C",'Mapa final'!#REF!),"")</f>
        <v>#REF!</v>
      </c>
      <c r="AG12" s="23" t="e">
        <f>IF(AND('Mapa final'!#REF!="Muy Alta",'Mapa final'!#REF!="Mayor"),CONCATENATE("R7C",'Mapa final'!#REF!),"")</f>
        <v>#REF!</v>
      </c>
      <c r="AH12" s="24" t="e">
        <f>IF(AND('Mapa final'!#REF!="Muy Alta",'Mapa final'!#REF!="Catastrófico"),CONCATENATE("R7C",'Mapa final'!#REF!),"")</f>
        <v>#REF!</v>
      </c>
      <c r="AI12" s="25" t="e">
        <f>IF(AND('Mapa final'!#REF!="Muy Alta",'Mapa final'!#REF!="Catastrófico"),CONCATENATE("R7C",'Mapa final'!#REF!),"")</f>
        <v>#REF!</v>
      </c>
      <c r="AJ12" s="25" t="e">
        <f>IF(AND('Mapa final'!#REF!="Muy Alta",'Mapa final'!#REF!="Catastrófico"),CONCATENATE("R7C",'Mapa final'!#REF!),"")</f>
        <v>#REF!</v>
      </c>
      <c r="AK12" s="25" t="e">
        <f>IF(AND('Mapa final'!#REF!="Muy Alta",'Mapa final'!#REF!="Catastrófico"),CONCATENATE("R7C",'Mapa final'!#REF!),"")</f>
        <v>#REF!</v>
      </c>
      <c r="AL12" s="25" t="e">
        <f>IF(AND('Mapa final'!#REF!="Muy Alta",'Mapa final'!#REF!="Catastrófico"),CONCATENATE("R7C",'Mapa final'!#REF!),"")</f>
        <v>#REF!</v>
      </c>
      <c r="AM12" s="26" t="e">
        <f>IF(AND('Mapa final'!#REF!="Muy Alta",'Mapa final'!#REF!="Catastrófico"),CONCATENATE("R7C",'Mapa final'!#REF!),"")</f>
        <v>#REF!</v>
      </c>
      <c r="AN12" s="1"/>
      <c r="AO12" s="271"/>
      <c r="AP12" s="211"/>
      <c r="AQ12" s="211"/>
      <c r="AR12" s="211"/>
      <c r="AS12" s="211"/>
      <c r="AT12" s="272"/>
    </row>
    <row r="13" spans="2:46" ht="15" customHeight="1" x14ac:dyDescent="0.25">
      <c r="B13" s="288"/>
      <c r="C13" s="211"/>
      <c r="D13" s="212"/>
      <c r="E13" s="223"/>
      <c r="F13" s="211"/>
      <c r="G13" s="211"/>
      <c r="H13" s="211"/>
      <c r="I13" s="212"/>
      <c r="J13" s="21" t="e">
        <f>IF(AND('Mapa final'!#REF!="Muy Alta",'Mapa final'!#REF!="Leve"),CONCATENATE("R8C",'Mapa final'!#REF!),"")</f>
        <v>#REF!</v>
      </c>
      <c r="K13" s="22" t="e">
        <f>IF(AND('Mapa final'!#REF!="Muy Alta",'Mapa final'!#REF!="Leve"),CONCATENATE("R8C",'Mapa final'!#REF!),"")</f>
        <v>#REF!</v>
      </c>
      <c r="L13" s="22" t="e">
        <f>IF(AND('Mapa final'!#REF!="Muy Alta",'Mapa final'!#REF!="Leve"),CONCATENATE("R8C",'Mapa final'!#REF!),"")</f>
        <v>#REF!</v>
      </c>
      <c r="M13" s="22" t="e">
        <f>IF(AND('Mapa final'!#REF!="Muy Alta",'Mapa final'!#REF!="Leve"),CONCATENATE("R8C",'Mapa final'!#REF!),"")</f>
        <v>#REF!</v>
      </c>
      <c r="N13" s="22" t="e">
        <f>IF(AND('Mapa final'!#REF!="Muy Alta",'Mapa final'!#REF!="Leve"),CONCATENATE("R8C",'Mapa final'!#REF!),"")</f>
        <v>#REF!</v>
      </c>
      <c r="O13" s="23" t="e">
        <f>IF(AND('Mapa final'!#REF!="Muy Alta",'Mapa final'!#REF!="Leve"),CONCATENATE("R8C",'Mapa final'!#REF!),"")</f>
        <v>#REF!</v>
      </c>
      <c r="P13" s="21" t="e">
        <f>IF(AND('Mapa final'!#REF!="Muy Alta",'Mapa final'!#REF!="Menor"),CONCATENATE("R8C",'Mapa final'!#REF!),"")</f>
        <v>#REF!</v>
      </c>
      <c r="Q13" s="22" t="e">
        <f>IF(AND('Mapa final'!#REF!="Muy Alta",'Mapa final'!#REF!="Menor"),CONCATENATE("R8C",'Mapa final'!#REF!),"")</f>
        <v>#REF!</v>
      </c>
      <c r="R13" s="22" t="e">
        <f>IF(AND('Mapa final'!#REF!="Muy Alta",'Mapa final'!#REF!="Menor"),CONCATENATE("R8C",'Mapa final'!#REF!),"")</f>
        <v>#REF!</v>
      </c>
      <c r="S13" s="22" t="e">
        <f>IF(AND('Mapa final'!#REF!="Muy Alta",'Mapa final'!#REF!="Menor"),CONCATENATE("R8C",'Mapa final'!#REF!),"")</f>
        <v>#REF!</v>
      </c>
      <c r="T13" s="22" t="e">
        <f>IF(AND('Mapa final'!#REF!="Muy Alta",'Mapa final'!#REF!="Menor"),CONCATENATE("R8C",'Mapa final'!#REF!),"")</f>
        <v>#REF!</v>
      </c>
      <c r="U13" s="23" t="e">
        <f>IF(AND('Mapa final'!#REF!="Muy Alta",'Mapa final'!#REF!="Menor"),CONCATENATE("R8C",'Mapa final'!#REF!),"")</f>
        <v>#REF!</v>
      </c>
      <c r="V13" s="21" t="e">
        <f>IF(AND('Mapa final'!#REF!="Muy Alta",'Mapa final'!#REF!="Moderado"),CONCATENATE("R8C",'Mapa final'!#REF!),"")</f>
        <v>#REF!</v>
      </c>
      <c r="W13" s="22" t="e">
        <f>IF(AND('Mapa final'!#REF!="Muy Alta",'Mapa final'!#REF!="Moderado"),CONCATENATE("R8C",'Mapa final'!#REF!),"")</f>
        <v>#REF!</v>
      </c>
      <c r="X13" s="22" t="e">
        <f>IF(AND('Mapa final'!#REF!="Muy Alta",'Mapa final'!#REF!="Moderado"),CONCATENATE("R8C",'Mapa final'!#REF!),"")</f>
        <v>#REF!</v>
      </c>
      <c r="Y13" s="22" t="e">
        <f>IF(AND('Mapa final'!#REF!="Muy Alta",'Mapa final'!#REF!="Moderado"),CONCATENATE("R8C",'Mapa final'!#REF!),"")</f>
        <v>#REF!</v>
      </c>
      <c r="Z13" s="22" t="e">
        <f>IF(AND('Mapa final'!#REF!="Muy Alta",'Mapa final'!#REF!="Moderado"),CONCATENATE("R8C",'Mapa final'!#REF!),"")</f>
        <v>#REF!</v>
      </c>
      <c r="AA13" s="23" t="e">
        <f>IF(AND('Mapa final'!#REF!="Muy Alta",'Mapa final'!#REF!="Moderado"),CONCATENATE("R8C",'Mapa final'!#REF!),"")</f>
        <v>#REF!</v>
      </c>
      <c r="AB13" s="21" t="e">
        <f>IF(AND('Mapa final'!#REF!="Muy Alta",'Mapa final'!#REF!="Mayor"),CONCATENATE("R8C",'Mapa final'!#REF!),"")</f>
        <v>#REF!</v>
      </c>
      <c r="AC13" s="22" t="e">
        <f>IF(AND('Mapa final'!#REF!="Muy Alta",'Mapa final'!#REF!="Mayor"),CONCATENATE("R8C",'Mapa final'!#REF!),"")</f>
        <v>#REF!</v>
      </c>
      <c r="AD13" s="22" t="e">
        <f>IF(AND('Mapa final'!#REF!="Muy Alta",'Mapa final'!#REF!="Mayor"),CONCATENATE("R8C",'Mapa final'!#REF!),"")</f>
        <v>#REF!</v>
      </c>
      <c r="AE13" s="22" t="e">
        <f>IF(AND('Mapa final'!#REF!="Muy Alta",'Mapa final'!#REF!="Mayor"),CONCATENATE("R8C",'Mapa final'!#REF!),"")</f>
        <v>#REF!</v>
      </c>
      <c r="AF13" s="22" t="e">
        <f>IF(AND('Mapa final'!#REF!="Muy Alta",'Mapa final'!#REF!="Mayor"),CONCATENATE("R8C",'Mapa final'!#REF!),"")</f>
        <v>#REF!</v>
      </c>
      <c r="AG13" s="23" t="e">
        <f>IF(AND('Mapa final'!#REF!="Muy Alta",'Mapa final'!#REF!="Mayor"),CONCATENATE("R8C",'Mapa final'!#REF!),"")</f>
        <v>#REF!</v>
      </c>
      <c r="AH13" s="24" t="e">
        <f>IF(AND('Mapa final'!#REF!="Muy Alta",'Mapa final'!#REF!="Catastrófico"),CONCATENATE("R8C",'Mapa final'!#REF!),"")</f>
        <v>#REF!</v>
      </c>
      <c r="AI13" s="25" t="e">
        <f>IF(AND('Mapa final'!#REF!="Muy Alta",'Mapa final'!#REF!="Catastrófico"),CONCATENATE("R8C",'Mapa final'!#REF!),"")</f>
        <v>#REF!</v>
      </c>
      <c r="AJ13" s="25" t="e">
        <f>IF(AND('Mapa final'!#REF!="Muy Alta",'Mapa final'!#REF!="Catastrófico"),CONCATENATE("R8C",'Mapa final'!#REF!),"")</f>
        <v>#REF!</v>
      </c>
      <c r="AK13" s="25" t="e">
        <f>IF(AND('Mapa final'!#REF!="Muy Alta",'Mapa final'!#REF!="Catastrófico"),CONCATENATE("R8C",'Mapa final'!#REF!),"")</f>
        <v>#REF!</v>
      </c>
      <c r="AL13" s="25" t="e">
        <f>IF(AND('Mapa final'!#REF!="Muy Alta",'Mapa final'!#REF!="Catastrófico"),CONCATENATE("R8C",'Mapa final'!#REF!),"")</f>
        <v>#REF!</v>
      </c>
      <c r="AM13" s="26" t="e">
        <f>IF(AND('Mapa final'!#REF!="Muy Alta",'Mapa final'!#REF!="Catastrófico"),CONCATENATE("R8C",'Mapa final'!#REF!),"")</f>
        <v>#REF!</v>
      </c>
      <c r="AN13" s="1"/>
      <c r="AO13" s="271"/>
      <c r="AP13" s="211"/>
      <c r="AQ13" s="211"/>
      <c r="AR13" s="211"/>
      <c r="AS13" s="211"/>
      <c r="AT13" s="272"/>
    </row>
    <row r="14" spans="2:46" ht="15" customHeight="1" x14ac:dyDescent="0.25">
      <c r="B14" s="288"/>
      <c r="C14" s="211"/>
      <c r="D14" s="212"/>
      <c r="E14" s="223"/>
      <c r="F14" s="211"/>
      <c r="G14" s="211"/>
      <c r="H14" s="211"/>
      <c r="I14" s="212"/>
      <c r="J14" s="21" t="e">
        <f>IF(AND('Mapa final'!#REF!="Muy Alta",'Mapa final'!#REF!="Leve"),CONCATENATE("R9C",'Mapa final'!#REF!),"")</f>
        <v>#REF!</v>
      </c>
      <c r="K14" s="22" t="e">
        <f>IF(AND('Mapa final'!#REF!="Muy Alta",'Mapa final'!#REF!="Leve"),CONCATENATE("R9C",'Mapa final'!#REF!),"")</f>
        <v>#REF!</v>
      </c>
      <c r="L14" s="22" t="e">
        <f>IF(AND('Mapa final'!#REF!="Muy Alta",'Mapa final'!#REF!="Leve"),CONCATENATE("R9C",'Mapa final'!#REF!),"")</f>
        <v>#REF!</v>
      </c>
      <c r="M14" s="22" t="e">
        <f>IF(AND('Mapa final'!#REF!="Muy Alta",'Mapa final'!#REF!="Leve"),CONCATENATE("R9C",'Mapa final'!#REF!),"")</f>
        <v>#REF!</v>
      </c>
      <c r="N14" s="22" t="e">
        <f>IF(AND('Mapa final'!#REF!="Muy Alta",'Mapa final'!#REF!="Leve"),CONCATENATE("R9C",'Mapa final'!#REF!),"")</f>
        <v>#REF!</v>
      </c>
      <c r="O14" s="23" t="e">
        <f>IF(AND('Mapa final'!#REF!="Muy Alta",'Mapa final'!#REF!="Leve"),CONCATENATE("R9C",'Mapa final'!#REF!),"")</f>
        <v>#REF!</v>
      </c>
      <c r="P14" s="21" t="e">
        <f>IF(AND('Mapa final'!#REF!="Muy Alta",'Mapa final'!#REF!="Menor"),CONCATENATE("R9C",'Mapa final'!#REF!),"")</f>
        <v>#REF!</v>
      </c>
      <c r="Q14" s="22" t="e">
        <f>IF(AND('Mapa final'!#REF!="Muy Alta",'Mapa final'!#REF!="Menor"),CONCATENATE("R9C",'Mapa final'!#REF!),"")</f>
        <v>#REF!</v>
      </c>
      <c r="R14" s="22" t="e">
        <f>IF(AND('Mapa final'!#REF!="Muy Alta",'Mapa final'!#REF!="Menor"),CONCATENATE("R9C",'Mapa final'!#REF!),"")</f>
        <v>#REF!</v>
      </c>
      <c r="S14" s="22" t="e">
        <f>IF(AND('Mapa final'!#REF!="Muy Alta",'Mapa final'!#REF!="Menor"),CONCATENATE("R9C",'Mapa final'!#REF!),"")</f>
        <v>#REF!</v>
      </c>
      <c r="T14" s="22" t="e">
        <f>IF(AND('Mapa final'!#REF!="Muy Alta",'Mapa final'!#REF!="Menor"),CONCATENATE("R9C",'Mapa final'!#REF!),"")</f>
        <v>#REF!</v>
      </c>
      <c r="U14" s="23" t="e">
        <f>IF(AND('Mapa final'!#REF!="Muy Alta",'Mapa final'!#REF!="Menor"),CONCATENATE("R9C",'Mapa final'!#REF!),"")</f>
        <v>#REF!</v>
      </c>
      <c r="V14" s="21" t="e">
        <f>IF(AND('Mapa final'!#REF!="Muy Alta",'Mapa final'!#REF!="Moderado"),CONCATENATE("R9C",'Mapa final'!#REF!),"")</f>
        <v>#REF!</v>
      </c>
      <c r="W14" s="22" t="e">
        <f>IF(AND('Mapa final'!#REF!="Muy Alta",'Mapa final'!#REF!="Moderado"),CONCATENATE("R9C",'Mapa final'!#REF!),"")</f>
        <v>#REF!</v>
      </c>
      <c r="X14" s="22" t="e">
        <f>IF(AND('Mapa final'!#REF!="Muy Alta",'Mapa final'!#REF!="Moderado"),CONCATENATE("R9C",'Mapa final'!#REF!),"")</f>
        <v>#REF!</v>
      </c>
      <c r="Y14" s="22" t="e">
        <f>IF(AND('Mapa final'!#REF!="Muy Alta",'Mapa final'!#REF!="Moderado"),CONCATENATE("R9C",'Mapa final'!#REF!),"")</f>
        <v>#REF!</v>
      </c>
      <c r="Z14" s="22" t="e">
        <f>IF(AND('Mapa final'!#REF!="Muy Alta",'Mapa final'!#REF!="Moderado"),CONCATENATE("R9C",'Mapa final'!#REF!),"")</f>
        <v>#REF!</v>
      </c>
      <c r="AA14" s="23" t="e">
        <f>IF(AND('Mapa final'!#REF!="Muy Alta",'Mapa final'!#REF!="Moderado"),CONCATENATE("R9C",'Mapa final'!#REF!),"")</f>
        <v>#REF!</v>
      </c>
      <c r="AB14" s="21" t="e">
        <f>IF(AND('Mapa final'!#REF!="Muy Alta",'Mapa final'!#REF!="Mayor"),CONCATENATE("R9C",'Mapa final'!#REF!),"")</f>
        <v>#REF!</v>
      </c>
      <c r="AC14" s="22" t="e">
        <f>IF(AND('Mapa final'!#REF!="Muy Alta",'Mapa final'!#REF!="Mayor"),CONCATENATE("R9C",'Mapa final'!#REF!),"")</f>
        <v>#REF!</v>
      </c>
      <c r="AD14" s="22" t="e">
        <f>IF(AND('Mapa final'!#REF!="Muy Alta",'Mapa final'!#REF!="Mayor"),CONCATENATE("R9C",'Mapa final'!#REF!),"")</f>
        <v>#REF!</v>
      </c>
      <c r="AE14" s="22" t="e">
        <f>IF(AND('Mapa final'!#REF!="Muy Alta",'Mapa final'!#REF!="Mayor"),CONCATENATE("R9C",'Mapa final'!#REF!),"")</f>
        <v>#REF!</v>
      </c>
      <c r="AF14" s="22" t="e">
        <f>IF(AND('Mapa final'!#REF!="Muy Alta",'Mapa final'!#REF!="Mayor"),CONCATENATE("R9C",'Mapa final'!#REF!),"")</f>
        <v>#REF!</v>
      </c>
      <c r="AG14" s="23" t="e">
        <f>IF(AND('Mapa final'!#REF!="Muy Alta",'Mapa final'!#REF!="Mayor"),CONCATENATE("R9C",'Mapa final'!#REF!),"")</f>
        <v>#REF!</v>
      </c>
      <c r="AH14" s="24" t="e">
        <f>IF(AND('Mapa final'!#REF!="Muy Alta",'Mapa final'!#REF!="Catastrófico"),CONCATENATE("R9C",'Mapa final'!#REF!),"")</f>
        <v>#REF!</v>
      </c>
      <c r="AI14" s="25" t="e">
        <f>IF(AND('Mapa final'!#REF!="Muy Alta",'Mapa final'!#REF!="Catastrófico"),CONCATENATE("R9C",'Mapa final'!#REF!),"")</f>
        <v>#REF!</v>
      </c>
      <c r="AJ14" s="25" t="e">
        <f>IF(AND('Mapa final'!#REF!="Muy Alta",'Mapa final'!#REF!="Catastrófico"),CONCATENATE("R9C",'Mapa final'!#REF!),"")</f>
        <v>#REF!</v>
      </c>
      <c r="AK14" s="25" t="e">
        <f>IF(AND('Mapa final'!#REF!="Muy Alta",'Mapa final'!#REF!="Catastrófico"),CONCATENATE("R9C",'Mapa final'!#REF!),"")</f>
        <v>#REF!</v>
      </c>
      <c r="AL14" s="25" t="e">
        <f>IF(AND('Mapa final'!#REF!="Muy Alta",'Mapa final'!#REF!="Catastrófico"),CONCATENATE("R9C",'Mapa final'!#REF!),"")</f>
        <v>#REF!</v>
      </c>
      <c r="AM14" s="26" t="e">
        <f>IF(AND('Mapa final'!#REF!="Muy Alta",'Mapa final'!#REF!="Catastrófico"),CONCATENATE("R9C",'Mapa final'!#REF!),"")</f>
        <v>#REF!</v>
      </c>
      <c r="AN14" s="1"/>
      <c r="AO14" s="271"/>
      <c r="AP14" s="211"/>
      <c r="AQ14" s="211"/>
      <c r="AR14" s="211"/>
      <c r="AS14" s="211"/>
      <c r="AT14" s="272"/>
    </row>
    <row r="15" spans="2:46" ht="15.75" customHeight="1" x14ac:dyDescent="0.25">
      <c r="B15" s="288"/>
      <c r="C15" s="211"/>
      <c r="D15" s="212"/>
      <c r="E15" s="257"/>
      <c r="F15" s="281"/>
      <c r="G15" s="281"/>
      <c r="H15" s="281"/>
      <c r="I15" s="260"/>
      <c r="J15" s="27" t="e">
        <f>IF(AND('Mapa final'!#REF!="Muy Alta",'Mapa final'!#REF!="Leve"),CONCATENATE("R10C",'Mapa final'!#REF!),"")</f>
        <v>#REF!</v>
      </c>
      <c r="K15" s="28" t="e">
        <f>IF(AND('Mapa final'!#REF!="Muy Alta",'Mapa final'!#REF!="Leve"),CONCATENATE("R10C",'Mapa final'!#REF!),"")</f>
        <v>#REF!</v>
      </c>
      <c r="L15" s="28" t="e">
        <f>IF(AND('Mapa final'!#REF!="Muy Alta",'Mapa final'!#REF!="Leve"),CONCATENATE("R10C",'Mapa final'!#REF!),"")</f>
        <v>#REF!</v>
      </c>
      <c r="M15" s="28" t="e">
        <f>IF(AND('Mapa final'!#REF!="Muy Alta",'Mapa final'!#REF!="Leve"),CONCATENATE("R10C",'Mapa final'!#REF!),"")</f>
        <v>#REF!</v>
      </c>
      <c r="N15" s="28" t="e">
        <f>IF(AND('Mapa final'!#REF!="Muy Alta",'Mapa final'!#REF!="Leve"),CONCATENATE("R10C",'Mapa final'!#REF!),"")</f>
        <v>#REF!</v>
      </c>
      <c r="O15" s="29" t="e">
        <f>IF(AND('Mapa final'!#REF!="Muy Alta",'Mapa final'!#REF!="Leve"),CONCATENATE("R10C",'Mapa final'!#REF!),"")</f>
        <v>#REF!</v>
      </c>
      <c r="P15" s="21" t="e">
        <f>IF(AND('Mapa final'!#REF!="Muy Alta",'Mapa final'!#REF!="Menor"),CONCATENATE("R10C",'Mapa final'!#REF!),"")</f>
        <v>#REF!</v>
      </c>
      <c r="Q15" s="22" t="e">
        <f>IF(AND('Mapa final'!#REF!="Muy Alta",'Mapa final'!#REF!="Menor"),CONCATENATE("R10C",'Mapa final'!#REF!),"")</f>
        <v>#REF!</v>
      </c>
      <c r="R15" s="22" t="e">
        <f>IF(AND('Mapa final'!#REF!="Muy Alta",'Mapa final'!#REF!="Menor"),CONCATENATE("R10C",'Mapa final'!#REF!),"")</f>
        <v>#REF!</v>
      </c>
      <c r="S15" s="22" t="e">
        <f>IF(AND('Mapa final'!#REF!="Muy Alta",'Mapa final'!#REF!="Menor"),CONCATENATE("R10C",'Mapa final'!#REF!),"")</f>
        <v>#REF!</v>
      </c>
      <c r="T15" s="22" t="e">
        <f>IF(AND('Mapa final'!#REF!="Muy Alta",'Mapa final'!#REF!="Menor"),CONCATENATE("R10C",'Mapa final'!#REF!),"")</f>
        <v>#REF!</v>
      </c>
      <c r="U15" s="23" t="e">
        <f>IF(AND('Mapa final'!#REF!="Muy Alta",'Mapa final'!#REF!="Menor"),CONCATENATE("R10C",'Mapa final'!#REF!),"")</f>
        <v>#REF!</v>
      </c>
      <c r="V15" s="27" t="e">
        <f>IF(AND('Mapa final'!#REF!="Muy Alta",'Mapa final'!#REF!="Moderado"),CONCATENATE("R10C",'Mapa final'!#REF!),"")</f>
        <v>#REF!</v>
      </c>
      <c r="W15" s="28" t="e">
        <f>IF(AND('Mapa final'!#REF!="Muy Alta",'Mapa final'!#REF!="Moderado"),CONCATENATE("R10C",'Mapa final'!#REF!),"")</f>
        <v>#REF!</v>
      </c>
      <c r="X15" s="28" t="e">
        <f>IF(AND('Mapa final'!#REF!="Muy Alta",'Mapa final'!#REF!="Moderado"),CONCATENATE("R10C",'Mapa final'!#REF!),"")</f>
        <v>#REF!</v>
      </c>
      <c r="Y15" s="28" t="e">
        <f>IF(AND('Mapa final'!#REF!="Muy Alta",'Mapa final'!#REF!="Moderado"),CONCATENATE("R10C",'Mapa final'!#REF!),"")</f>
        <v>#REF!</v>
      </c>
      <c r="Z15" s="28" t="e">
        <f>IF(AND('Mapa final'!#REF!="Muy Alta",'Mapa final'!#REF!="Moderado"),CONCATENATE("R10C",'Mapa final'!#REF!),"")</f>
        <v>#REF!</v>
      </c>
      <c r="AA15" s="29" t="e">
        <f>IF(AND('Mapa final'!#REF!="Muy Alta",'Mapa final'!#REF!="Moderado"),CONCATENATE("R10C",'Mapa final'!#REF!),"")</f>
        <v>#REF!</v>
      </c>
      <c r="AB15" s="21" t="e">
        <f>IF(AND('Mapa final'!#REF!="Muy Alta",'Mapa final'!#REF!="Mayor"),CONCATENATE("R10C",'Mapa final'!#REF!),"")</f>
        <v>#REF!</v>
      </c>
      <c r="AC15" s="22" t="e">
        <f>IF(AND('Mapa final'!#REF!="Muy Alta",'Mapa final'!#REF!="Mayor"),CONCATENATE("R10C",'Mapa final'!#REF!),"")</f>
        <v>#REF!</v>
      </c>
      <c r="AD15" s="22" t="e">
        <f>IF(AND('Mapa final'!#REF!="Muy Alta",'Mapa final'!#REF!="Mayor"),CONCATENATE("R10C",'Mapa final'!#REF!),"")</f>
        <v>#REF!</v>
      </c>
      <c r="AE15" s="22" t="e">
        <f>IF(AND('Mapa final'!#REF!="Muy Alta",'Mapa final'!#REF!="Mayor"),CONCATENATE("R10C",'Mapa final'!#REF!),"")</f>
        <v>#REF!</v>
      </c>
      <c r="AF15" s="22" t="e">
        <f>IF(AND('Mapa final'!#REF!="Muy Alta",'Mapa final'!#REF!="Mayor"),CONCATENATE("R10C",'Mapa final'!#REF!),"")</f>
        <v>#REF!</v>
      </c>
      <c r="AG15" s="23" t="e">
        <f>IF(AND('Mapa final'!#REF!="Muy Alta",'Mapa final'!#REF!="Mayor"),CONCATENATE("R10C",'Mapa final'!#REF!),"")</f>
        <v>#REF!</v>
      </c>
      <c r="AH15" s="30" t="e">
        <f>IF(AND('Mapa final'!#REF!="Muy Alta",'Mapa final'!#REF!="Catastrófico"),CONCATENATE("R10C",'Mapa final'!#REF!),"")</f>
        <v>#REF!</v>
      </c>
      <c r="AI15" s="31" t="e">
        <f>IF(AND('Mapa final'!#REF!="Muy Alta",'Mapa final'!#REF!="Catastrófico"),CONCATENATE("R10C",'Mapa final'!#REF!),"")</f>
        <v>#REF!</v>
      </c>
      <c r="AJ15" s="31" t="e">
        <f>IF(AND('Mapa final'!#REF!="Muy Alta",'Mapa final'!#REF!="Catastrófico"),CONCATENATE("R10C",'Mapa final'!#REF!),"")</f>
        <v>#REF!</v>
      </c>
      <c r="AK15" s="31" t="e">
        <f>IF(AND('Mapa final'!#REF!="Muy Alta",'Mapa final'!#REF!="Catastrófico"),CONCATENATE("R10C",'Mapa final'!#REF!),"")</f>
        <v>#REF!</v>
      </c>
      <c r="AL15" s="31" t="e">
        <f>IF(AND('Mapa final'!#REF!="Muy Alta",'Mapa final'!#REF!="Catastrófico"),CONCATENATE("R10C",'Mapa final'!#REF!),"")</f>
        <v>#REF!</v>
      </c>
      <c r="AM15" s="32" t="e">
        <f>IF(AND('Mapa final'!#REF!="Muy Alta",'Mapa final'!#REF!="Catastrófico"),CONCATENATE("R10C",'Mapa final'!#REF!),"")</f>
        <v>#REF!</v>
      </c>
      <c r="AN15" s="1"/>
      <c r="AO15" s="273"/>
      <c r="AP15" s="274"/>
      <c r="AQ15" s="274"/>
      <c r="AR15" s="274"/>
      <c r="AS15" s="274"/>
      <c r="AT15" s="275"/>
    </row>
    <row r="16" spans="2:46" ht="15" customHeight="1" x14ac:dyDescent="0.25">
      <c r="B16" s="288"/>
      <c r="C16" s="211"/>
      <c r="D16" s="212"/>
      <c r="E16" s="296" t="s">
        <v>97</v>
      </c>
      <c r="F16" s="280"/>
      <c r="G16" s="280"/>
      <c r="H16" s="280"/>
      <c r="I16" s="280"/>
      <c r="J16" s="33" t="str">
        <f>IF(AND('Mapa final'!$Y$16="Alta",'Mapa final'!$AA$16="Leve"),CONCATENATE("R1C",'Mapa final'!$O$16),"")</f>
        <v/>
      </c>
      <c r="K16" s="34" t="str">
        <f>IF(AND('Mapa final'!$Y$17="Alta",'Mapa final'!$AA$17="Leve"),CONCATENATE("R1C",'Mapa final'!$O$17),"")</f>
        <v/>
      </c>
      <c r="L16" s="34" t="str">
        <f>IF(AND('Mapa final'!$Y$18="Alta",'Mapa final'!$AA$18="Leve"),CONCATENATE("R1C",'Mapa final'!$O$18),"")</f>
        <v/>
      </c>
      <c r="M16" s="34" t="e">
        <f>IF(AND('Mapa final'!#REF!="Alta",'Mapa final'!#REF!="Leve"),CONCATENATE("R1C",'Mapa final'!#REF!),"")</f>
        <v>#REF!</v>
      </c>
      <c r="N16" s="34" t="e">
        <f>IF(AND('Mapa final'!#REF!="Alta",'Mapa final'!#REF!="Leve"),CONCATENATE("R1C",'Mapa final'!#REF!),"")</f>
        <v>#REF!</v>
      </c>
      <c r="O16" s="35" t="e">
        <f>IF(AND('Mapa final'!#REF!="Alta",'Mapa final'!#REF!="Leve"),CONCATENATE("R1C",'Mapa final'!#REF!),"")</f>
        <v>#REF!</v>
      </c>
      <c r="P16" s="33" t="str">
        <f>IF(AND('Mapa final'!$Y$16="Alta",'Mapa final'!$AA$16="Menor"),CONCATENATE("R1C",'Mapa final'!$O$16),"")</f>
        <v/>
      </c>
      <c r="Q16" s="34" t="str">
        <f>IF(AND('Mapa final'!$Y$17="Alta",'Mapa final'!$AA$17="Menor"),CONCATENATE("R1C",'Mapa final'!$O$17),"")</f>
        <v/>
      </c>
      <c r="R16" s="34" t="str">
        <f>IF(AND('Mapa final'!$Y$18="Alta",'Mapa final'!$AA$18="Menor"),CONCATENATE("R1C",'Mapa final'!$O$18),"")</f>
        <v/>
      </c>
      <c r="S16" s="34" t="e">
        <f>IF(AND('Mapa final'!#REF!="Alta",'Mapa final'!#REF!="Menor"),CONCATENATE("R1C",'Mapa final'!#REF!),"")</f>
        <v>#REF!</v>
      </c>
      <c r="T16" s="34" t="e">
        <f>IF(AND('Mapa final'!#REF!="Alta",'Mapa final'!#REF!="Menor"),CONCATENATE("R1C",'Mapa final'!#REF!),"")</f>
        <v>#REF!</v>
      </c>
      <c r="U16" s="35" t="e">
        <f>IF(AND('Mapa final'!#REF!="Alta",'Mapa final'!#REF!="Menor"),CONCATENATE("R1C",'Mapa final'!#REF!),"")</f>
        <v>#REF!</v>
      </c>
      <c r="V16" s="15" t="str">
        <f>IF(AND('Mapa final'!$Y$16="Alta",'Mapa final'!$AA$16="Moderado"),CONCATENATE("R1C",'Mapa final'!$O$16),"")</f>
        <v/>
      </c>
      <c r="W16" s="16" t="str">
        <f>IF(AND('Mapa final'!$Y$17="Alta",'Mapa final'!$AA$17="Moderado"),CONCATENATE("R1C",'Mapa final'!$O$17),"")</f>
        <v/>
      </c>
      <c r="X16" s="16" t="str">
        <f>IF(AND('Mapa final'!$Y$18="Alta",'Mapa final'!$AA$18="Moderado"),CONCATENATE("R1C",'Mapa final'!$O$18),"")</f>
        <v/>
      </c>
      <c r="Y16" s="16" t="e">
        <f>IF(AND('Mapa final'!#REF!="Alta",'Mapa final'!#REF!="Moderado"),CONCATENATE("R1C",'Mapa final'!#REF!),"")</f>
        <v>#REF!</v>
      </c>
      <c r="Z16" s="16" t="e">
        <f>IF(AND('Mapa final'!#REF!="Alta",'Mapa final'!#REF!="Moderado"),CONCATENATE("R1C",'Mapa final'!#REF!),"")</f>
        <v>#REF!</v>
      </c>
      <c r="AA16" s="17" t="e">
        <f>IF(AND('Mapa final'!#REF!="Alta",'Mapa final'!#REF!="Moderado"),CONCATENATE("R1C",'Mapa final'!#REF!),"")</f>
        <v>#REF!</v>
      </c>
      <c r="AB16" s="15" t="str">
        <f>IF(AND('Mapa final'!$Y$16="Alta",'Mapa final'!$AA$16="Mayor"),CONCATENATE("R1C",'Mapa final'!$O$16),"")</f>
        <v/>
      </c>
      <c r="AC16" s="16" t="str">
        <f>IF(AND('Mapa final'!$Y$17="Alta",'Mapa final'!$AA$17="Mayor"),CONCATENATE("R1C",'Mapa final'!$O$17),"")</f>
        <v/>
      </c>
      <c r="AD16" s="16" t="str">
        <f>IF(AND('Mapa final'!$Y$18="Alta",'Mapa final'!$AA$18="Mayor"),CONCATENATE("R1C",'Mapa final'!$O$18),"")</f>
        <v/>
      </c>
      <c r="AE16" s="16" t="e">
        <f>IF(AND('Mapa final'!#REF!="Alta",'Mapa final'!#REF!="Mayor"),CONCATENATE("R1C",'Mapa final'!#REF!),"")</f>
        <v>#REF!</v>
      </c>
      <c r="AF16" s="16" t="e">
        <f>IF(AND('Mapa final'!#REF!="Alta",'Mapa final'!#REF!="Mayor"),CONCATENATE("R1C",'Mapa final'!#REF!),"")</f>
        <v>#REF!</v>
      </c>
      <c r="AG16" s="17" t="e">
        <f>IF(AND('Mapa final'!#REF!="Alta",'Mapa final'!#REF!="Mayor"),CONCATENATE("R1C",'Mapa final'!#REF!),"")</f>
        <v>#REF!</v>
      </c>
      <c r="AH16" s="18" t="str">
        <f>IF(AND('Mapa final'!$Y$16="Alta",'Mapa final'!$AA$16="Catastrófico"),CONCATENATE("R1C",'Mapa final'!$O$16),"")</f>
        <v/>
      </c>
      <c r="AI16" s="19" t="str">
        <f>IF(AND('Mapa final'!$Y$17="Alta",'Mapa final'!$AA$17="Catastrófico"),CONCATENATE("R1C",'Mapa final'!$O$17),"")</f>
        <v/>
      </c>
      <c r="AJ16" s="19" t="str">
        <f>IF(AND('Mapa final'!$Y$18="Alta",'Mapa final'!$AA$18="Catastrófico"),CONCATENATE("R1C",'Mapa final'!$O$18),"")</f>
        <v/>
      </c>
      <c r="AK16" s="19" t="e">
        <f>IF(AND('Mapa final'!#REF!="Alta",'Mapa final'!#REF!="Catastrófico"),CONCATENATE("R1C",'Mapa final'!#REF!),"")</f>
        <v>#REF!</v>
      </c>
      <c r="AL16" s="19" t="e">
        <f>IF(AND('Mapa final'!#REF!="Alta",'Mapa final'!#REF!="Catastrófico"),CONCATENATE("R1C",'Mapa final'!#REF!),"")</f>
        <v>#REF!</v>
      </c>
      <c r="AM16" s="20" t="e">
        <f>IF(AND('Mapa final'!#REF!="Alta",'Mapa final'!#REF!="Catastrófico"),CONCATENATE("R1C",'Mapa final'!#REF!),"")</f>
        <v>#REF!</v>
      </c>
      <c r="AN16" s="1"/>
      <c r="AO16" s="292" t="s">
        <v>98</v>
      </c>
      <c r="AP16" s="269"/>
      <c r="AQ16" s="269"/>
      <c r="AR16" s="269"/>
      <c r="AS16" s="269"/>
      <c r="AT16" s="270"/>
    </row>
    <row r="17" spans="2:46" ht="15" customHeight="1" x14ac:dyDescent="0.25">
      <c r="B17" s="288"/>
      <c r="C17" s="211"/>
      <c r="D17" s="212"/>
      <c r="E17" s="223"/>
      <c r="F17" s="211"/>
      <c r="G17" s="211"/>
      <c r="H17" s="211"/>
      <c r="I17" s="211"/>
      <c r="J17" s="36" t="str">
        <f>IF(AND('Mapa final'!$Y$21="Alta",'Mapa final'!$AA$21="Leve"),CONCATENATE("R2C",'Mapa final'!$O$21),"")</f>
        <v/>
      </c>
      <c r="K17" s="37" t="e">
        <f>IF(AND('Mapa final'!#REF!="Alta",'Mapa final'!#REF!="Leve"),CONCATENATE("R2C",'Mapa final'!#REF!),"")</f>
        <v>#REF!</v>
      </c>
      <c r="L17" s="37" t="e">
        <f>IF(AND('Mapa final'!#REF!="Alta",'Mapa final'!#REF!="Leve"),CONCATENATE("R2C",'Mapa final'!#REF!),"")</f>
        <v>#REF!</v>
      </c>
      <c r="M17" s="37" t="e">
        <f>IF(AND('Mapa final'!#REF!="Alta",'Mapa final'!#REF!="Leve"),CONCATENATE("R2C",'Mapa final'!#REF!),"")</f>
        <v>#REF!</v>
      </c>
      <c r="N17" s="37" t="str">
        <f>IF(AND('Mapa final'!$Y$22="Alta",'Mapa final'!$AA$22="Leve"),CONCATENATE("R2C",'Mapa final'!$O$22),"")</f>
        <v/>
      </c>
      <c r="O17" s="38" t="str">
        <f>IF(AND('Mapa final'!$Y$23="Alta",'Mapa final'!$AA$23="Leve"),CONCATENATE("R2C",'Mapa final'!$O$23),"")</f>
        <v/>
      </c>
      <c r="P17" s="36" t="str">
        <f>IF(AND('Mapa final'!$Y$21="Alta",'Mapa final'!$AA$21="Menor"),CONCATENATE("R2C",'Mapa final'!$O$21),"")</f>
        <v/>
      </c>
      <c r="Q17" s="37" t="e">
        <f>IF(AND('Mapa final'!#REF!="Alta",'Mapa final'!#REF!="Menor"),CONCATENATE("R2C",'Mapa final'!#REF!),"")</f>
        <v>#REF!</v>
      </c>
      <c r="R17" s="37" t="e">
        <f>IF(AND('Mapa final'!#REF!="Alta",'Mapa final'!#REF!="Menor"),CONCATENATE("R2C",'Mapa final'!#REF!),"")</f>
        <v>#REF!</v>
      </c>
      <c r="S17" s="37" t="e">
        <f>IF(AND('Mapa final'!#REF!="Alta",'Mapa final'!#REF!="Menor"),CONCATENATE("R2C",'Mapa final'!#REF!),"")</f>
        <v>#REF!</v>
      </c>
      <c r="T17" s="37" t="str">
        <f>IF(AND('Mapa final'!$Y$22="Alta",'Mapa final'!$AA$22="Menor"),CONCATENATE("R2C",'Mapa final'!$O$22),"")</f>
        <v/>
      </c>
      <c r="U17" s="38" t="str">
        <f>IF(AND('Mapa final'!$Y$23="Alta",'Mapa final'!$AA$23="Menor"),CONCATENATE("R2C",'Mapa final'!$O$23),"")</f>
        <v/>
      </c>
      <c r="V17" s="21" t="str">
        <f>IF(AND('Mapa final'!$Y$21="Alta",'Mapa final'!$AA$21="Moderado"),CONCATENATE("R2C",'Mapa final'!$O$21),"")</f>
        <v/>
      </c>
      <c r="W17" s="22" t="e">
        <f>IF(AND('Mapa final'!#REF!="Alta",'Mapa final'!#REF!="Moderado"),CONCATENATE("R2C",'Mapa final'!#REF!),"")</f>
        <v>#REF!</v>
      </c>
      <c r="X17" s="22" t="e">
        <f>IF(AND('Mapa final'!#REF!="Alta",'Mapa final'!#REF!="Moderado"),CONCATENATE("R2C",'Mapa final'!#REF!),"")</f>
        <v>#REF!</v>
      </c>
      <c r="Y17" s="22" t="e">
        <f>IF(AND('Mapa final'!#REF!="Alta",'Mapa final'!#REF!="Moderado"),CONCATENATE("R2C",'Mapa final'!#REF!),"")</f>
        <v>#REF!</v>
      </c>
      <c r="Z17" s="22" t="str">
        <f>IF(AND('Mapa final'!$Y$22="Alta",'Mapa final'!$AA$22="Moderado"),CONCATENATE("R2C",'Mapa final'!$O$22),"")</f>
        <v/>
      </c>
      <c r="AA17" s="23" t="str">
        <f>IF(AND('Mapa final'!$Y$23="Alta",'Mapa final'!$AA$23="Moderado"),CONCATENATE("R2C",'Mapa final'!$O$23),"")</f>
        <v/>
      </c>
      <c r="AB17" s="21" t="str">
        <f>IF(AND('Mapa final'!$Y$21="Alta",'Mapa final'!$AA$21="Mayor"),CONCATENATE("R2C",'Mapa final'!$O$21),"")</f>
        <v/>
      </c>
      <c r="AC17" s="22" t="e">
        <f>IF(AND('Mapa final'!#REF!="Alta",'Mapa final'!#REF!="Mayor"),CONCATENATE("R2C",'Mapa final'!#REF!),"")</f>
        <v>#REF!</v>
      </c>
      <c r="AD17" s="22" t="e">
        <f>IF(AND('Mapa final'!#REF!="Alta",'Mapa final'!#REF!="Mayor"),CONCATENATE("R2C",'Mapa final'!#REF!),"")</f>
        <v>#REF!</v>
      </c>
      <c r="AE17" s="22" t="e">
        <f>IF(AND('Mapa final'!#REF!="Alta",'Mapa final'!#REF!="Mayor"),CONCATENATE("R2C",'Mapa final'!#REF!),"")</f>
        <v>#REF!</v>
      </c>
      <c r="AF17" s="22" t="str">
        <f>IF(AND('Mapa final'!$Y$22="Alta",'Mapa final'!$AA$22="Mayor"),CONCATENATE("R2C",'Mapa final'!$O$22),"")</f>
        <v/>
      </c>
      <c r="AG17" s="23" t="str">
        <f>IF(AND('Mapa final'!$Y$23="Alta",'Mapa final'!$AA$23="Mayor"),CONCATENATE("R2C",'Mapa final'!$O$23),"")</f>
        <v/>
      </c>
      <c r="AH17" s="24" t="str">
        <f>IF(AND('Mapa final'!$Y$21="Alta",'Mapa final'!$AA$21="Catastrófico"),CONCATENATE("R2C",'Mapa final'!$O$21),"")</f>
        <v/>
      </c>
      <c r="AI17" s="25" t="e">
        <f>IF(AND('Mapa final'!#REF!="Alta",'Mapa final'!#REF!="Catastrófico"),CONCATENATE("R2C",'Mapa final'!#REF!),"")</f>
        <v>#REF!</v>
      </c>
      <c r="AJ17" s="25" t="e">
        <f>IF(AND('Mapa final'!#REF!="Alta",'Mapa final'!#REF!="Catastrófico"),CONCATENATE("R2C",'Mapa final'!#REF!),"")</f>
        <v>#REF!</v>
      </c>
      <c r="AK17" s="25" t="e">
        <f>IF(AND('Mapa final'!#REF!="Alta",'Mapa final'!#REF!="Catastrófico"),CONCATENATE("R2C",'Mapa final'!#REF!),"")</f>
        <v>#REF!</v>
      </c>
      <c r="AL17" s="25" t="str">
        <f>IF(AND('Mapa final'!$Y$22="Alta",'Mapa final'!$AA$22="Catastrófico"),CONCATENATE("R2C",'Mapa final'!$O$22),"")</f>
        <v/>
      </c>
      <c r="AM17" s="26" t="str">
        <f>IF(AND('Mapa final'!$Y$23="Alta",'Mapa final'!$AA$23="Catastrófico"),CONCATENATE("R2C",'Mapa final'!$O$23),"")</f>
        <v/>
      </c>
      <c r="AN17" s="1"/>
      <c r="AO17" s="271"/>
      <c r="AP17" s="211"/>
      <c r="AQ17" s="211"/>
      <c r="AR17" s="211"/>
      <c r="AS17" s="211"/>
      <c r="AT17" s="272"/>
    </row>
    <row r="18" spans="2:46" ht="15" customHeight="1" x14ac:dyDescent="0.25">
      <c r="B18" s="288"/>
      <c r="C18" s="211"/>
      <c r="D18" s="212"/>
      <c r="E18" s="223"/>
      <c r="F18" s="211"/>
      <c r="G18" s="211"/>
      <c r="H18" s="211"/>
      <c r="I18" s="211"/>
      <c r="J18" s="36" t="str">
        <f>IF(AND('Mapa final'!$Y$26="Alta",'Mapa final'!$AA$26="Leve"),CONCATENATE("R3C",'Mapa final'!$O$26),"")</f>
        <v/>
      </c>
      <c r="K18" s="37" t="str">
        <f>IF(AND('Mapa final'!$Y$27="Alta",'Mapa final'!$AA$27="Leve"),CONCATENATE("R3C",'Mapa final'!$O$27),"")</f>
        <v/>
      </c>
      <c r="L18" s="37" t="str">
        <f>IF(AND('Mapa final'!$Y$28="Alta",'Mapa final'!$AA$28="Leve"),CONCATENATE("R3C",'Mapa final'!$O$28),"")</f>
        <v/>
      </c>
      <c r="M18" s="37" t="e">
        <f>IF(AND('Mapa final'!#REF!="Alta",'Mapa final'!#REF!="Leve"),CONCATENATE("R3C",'Mapa final'!#REF!),"")</f>
        <v>#REF!</v>
      </c>
      <c r="N18" s="37" t="e">
        <f>IF(AND('Mapa final'!#REF!="Alta",'Mapa final'!#REF!="Leve"),CONCATENATE("R3C",'Mapa final'!#REF!),"")</f>
        <v>#REF!</v>
      </c>
      <c r="O18" s="38" t="e">
        <f>IF(AND('Mapa final'!#REF!="Alta",'Mapa final'!#REF!="Leve"),CONCATENATE("R3C",'Mapa final'!#REF!),"")</f>
        <v>#REF!</v>
      </c>
      <c r="P18" s="36" t="str">
        <f>IF(AND('Mapa final'!$Y$26="Alta",'Mapa final'!$AA$26="Menor"),CONCATENATE("R3C",'Mapa final'!$O$26),"")</f>
        <v/>
      </c>
      <c r="Q18" s="37" t="str">
        <f>IF(AND('Mapa final'!$Y$27="Alta",'Mapa final'!$AA$27="Menor"),CONCATENATE("R3C",'Mapa final'!$O$27),"")</f>
        <v/>
      </c>
      <c r="R18" s="37" t="str">
        <f>IF(AND('Mapa final'!$Y$28="Alta",'Mapa final'!$AA$28="Menor"),CONCATENATE("R3C",'Mapa final'!$O$28),"")</f>
        <v/>
      </c>
      <c r="S18" s="37" t="e">
        <f>IF(AND('Mapa final'!#REF!="Alta",'Mapa final'!#REF!="Menor"),CONCATENATE("R3C",'Mapa final'!#REF!),"")</f>
        <v>#REF!</v>
      </c>
      <c r="T18" s="37" t="e">
        <f>IF(AND('Mapa final'!#REF!="Alta",'Mapa final'!#REF!="Menor"),CONCATENATE("R3C",'Mapa final'!#REF!),"")</f>
        <v>#REF!</v>
      </c>
      <c r="U18" s="38" t="e">
        <f>IF(AND('Mapa final'!#REF!="Alta",'Mapa final'!#REF!="Menor"),CONCATENATE("R3C",'Mapa final'!#REF!),"")</f>
        <v>#REF!</v>
      </c>
      <c r="V18" s="21" t="str">
        <f>IF(AND('Mapa final'!$Y$26="Alta",'Mapa final'!$AA$26="Moderado"),CONCATENATE("R3C",'Mapa final'!$O$26),"")</f>
        <v/>
      </c>
      <c r="W18" s="22" t="str">
        <f>IF(AND('Mapa final'!$Y$27="Alta",'Mapa final'!$AA$27="Moderado"),CONCATENATE("R3C",'Mapa final'!$O$27),"")</f>
        <v/>
      </c>
      <c r="X18" s="22" t="str">
        <f>IF(AND('Mapa final'!$Y$28="Alta",'Mapa final'!$AA$28="Moderado"),CONCATENATE("R3C",'Mapa final'!$O$28),"")</f>
        <v/>
      </c>
      <c r="Y18" s="22" t="e">
        <f>IF(AND('Mapa final'!#REF!="Alta",'Mapa final'!#REF!="Moderado"),CONCATENATE("R3C",'Mapa final'!#REF!),"")</f>
        <v>#REF!</v>
      </c>
      <c r="Z18" s="22" t="e">
        <f>IF(AND('Mapa final'!#REF!="Alta",'Mapa final'!#REF!="Moderado"),CONCATENATE("R3C",'Mapa final'!#REF!),"")</f>
        <v>#REF!</v>
      </c>
      <c r="AA18" s="23" t="e">
        <f>IF(AND('Mapa final'!#REF!="Alta",'Mapa final'!#REF!="Moderado"),CONCATENATE("R3C",'Mapa final'!#REF!),"")</f>
        <v>#REF!</v>
      </c>
      <c r="AB18" s="21" t="str">
        <f>IF(AND('Mapa final'!$Y$26="Alta",'Mapa final'!$AA$26="Mayor"),CONCATENATE("R3C",'Mapa final'!$O$26),"")</f>
        <v/>
      </c>
      <c r="AC18" s="22" t="str">
        <f>IF(AND('Mapa final'!$Y$27="Alta",'Mapa final'!$AA$27="Mayor"),CONCATENATE("R3C",'Mapa final'!$O$27),"")</f>
        <v/>
      </c>
      <c r="AD18" s="22" t="str">
        <f>IF(AND('Mapa final'!$Y$28="Alta",'Mapa final'!$AA$28="Mayor"),CONCATENATE("R3C",'Mapa final'!$O$28),"")</f>
        <v/>
      </c>
      <c r="AE18" s="22" t="e">
        <f>IF(AND('Mapa final'!#REF!="Alta",'Mapa final'!#REF!="Mayor"),CONCATENATE("R3C",'Mapa final'!#REF!),"")</f>
        <v>#REF!</v>
      </c>
      <c r="AF18" s="22" t="e">
        <f>IF(AND('Mapa final'!#REF!="Alta",'Mapa final'!#REF!="Mayor"),CONCATENATE("R3C",'Mapa final'!#REF!),"")</f>
        <v>#REF!</v>
      </c>
      <c r="AG18" s="23" t="e">
        <f>IF(AND('Mapa final'!#REF!="Alta",'Mapa final'!#REF!="Mayor"),CONCATENATE("R3C",'Mapa final'!#REF!),"")</f>
        <v>#REF!</v>
      </c>
      <c r="AH18" s="24" t="str">
        <f>IF(AND('Mapa final'!$Y$26="Alta",'Mapa final'!$AA$26="Catastrófico"),CONCATENATE("R3C",'Mapa final'!$O$26),"")</f>
        <v/>
      </c>
      <c r="AI18" s="25" t="str">
        <f>IF(AND('Mapa final'!$Y$27="Alta",'Mapa final'!$AA$27="Catastrófico"),CONCATENATE("R3C",'Mapa final'!$O$27),"")</f>
        <v/>
      </c>
      <c r="AJ18" s="25" t="str">
        <f>IF(AND('Mapa final'!$Y$28="Alta",'Mapa final'!$AA$28="Catastrófico"),CONCATENATE("R3C",'Mapa final'!$O$28),"")</f>
        <v/>
      </c>
      <c r="AK18" s="25" t="e">
        <f>IF(AND('Mapa final'!#REF!="Alta",'Mapa final'!#REF!="Catastrófico"),CONCATENATE("R3C",'Mapa final'!#REF!),"")</f>
        <v>#REF!</v>
      </c>
      <c r="AL18" s="25" t="e">
        <f>IF(AND('Mapa final'!#REF!="Alta",'Mapa final'!#REF!="Catastrófico"),CONCATENATE("R3C",'Mapa final'!#REF!),"")</f>
        <v>#REF!</v>
      </c>
      <c r="AM18" s="26" t="e">
        <f>IF(AND('Mapa final'!#REF!="Alta",'Mapa final'!#REF!="Catastrófico"),CONCATENATE("R3C",'Mapa final'!#REF!),"")</f>
        <v>#REF!</v>
      </c>
      <c r="AN18" s="1"/>
      <c r="AO18" s="271"/>
      <c r="AP18" s="211"/>
      <c r="AQ18" s="211"/>
      <c r="AR18" s="211"/>
      <c r="AS18" s="211"/>
      <c r="AT18" s="272"/>
    </row>
    <row r="19" spans="2:46" ht="15" customHeight="1" x14ac:dyDescent="0.25">
      <c r="B19" s="288"/>
      <c r="C19" s="211"/>
      <c r="D19" s="212"/>
      <c r="E19" s="223"/>
      <c r="F19" s="211"/>
      <c r="G19" s="211"/>
      <c r="H19" s="211"/>
      <c r="I19" s="211"/>
      <c r="J19" s="36" t="str">
        <f>IF(AND('Mapa final'!$Y$31="Alta",'Mapa final'!$AA$31="Leve"),CONCATENATE("R4C",'Mapa final'!$O$31),"")</f>
        <v/>
      </c>
      <c r="K19" s="37" t="str">
        <f>IF(AND('Mapa final'!$Y$32="Alta",'Mapa final'!$AA$32="Leve"),CONCATENATE("R4C",'Mapa final'!$O$32),"")</f>
        <v/>
      </c>
      <c r="L19" s="37" t="e">
        <f>IF(AND('Mapa final'!#REF!="Alta",'Mapa final'!#REF!="Leve"),CONCATENATE("R4C",'Mapa final'!#REF!),"")</f>
        <v>#REF!</v>
      </c>
      <c r="M19" s="37" t="str">
        <f>IF(AND('Mapa final'!$Y$33="Alta",'Mapa final'!$AA$33="Leve"),CONCATENATE("R4C",'Mapa final'!$O$33),"")</f>
        <v/>
      </c>
      <c r="N19" s="37" t="e">
        <f>IF(AND('Mapa final'!#REF!="Alta",'Mapa final'!#REF!="Leve"),CONCATENATE("R4C",'Mapa final'!#REF!),"")</f>
        <v>#REF!</v>
      </c>
      <c r="O19" s="38" t="e">
        <f>IF(AND('Mapa final'!#REF!="Alta",'Mapa final'!#REF!="Leve"),CONCATENATE("R4C",'Mapa final'!#REF!),"")</f>
        <v>#REF!</v>
      </c>
      <c r="P19" s="36" t="str">
        <f>IF(AND('Mapa final'!$Y$31="Alta",'Mapa final'!$AA$31="Menor"),CONCATENATE("R4C",'Mapa final'!$O$31),"")</f>
        <v/>
      </c>
      <c r="Q19" s="37" t="str">
        <f>IF(AND('Mapa final'!$Y$32="Alta",'Mapa final'!$AA$32="Menor"),CONCATENATE("R4C",'Mapa final'!$O$32),"")</f>
        <v/>
      </c>
      <c r="R19" s="37" t="e">
        <f>IF(AND('Mapa final'!#REF!="Alta",'Mapa final'!#REF!="Menor"),CONCATENATE("R4C",'Mapa final'!#REF!),"")</f>
        <v>#REF!</v>
      </c>
      <c r="S19" s="37" t="str">
        <f>IF(AND('Mapa final'!$Y$33="Alta",'Mapa final'!$AA$33="Menor"),CONCATENATE("R4C",'Mapa final'!$O$33),"")</f>
        <v/>
      </c>
      <c r="T19" s="37" t="e">
        <f>IF(AND('Mapa final'!#REF!="Alta",'Mapa final'!#REF!="Menor"),CONCATENATE("R4C",'Mapa final'!#REF!),"")</f>
        <v>#REF!</v>
      </c>
      <c r="U19" s="38" t="e">
        <f>IF(AND('Mapa final'!#REF!="Alta",'Mapa final'!#REF!="Menor"),CONCATENATE("R4C",'Mapa final'!#REF!),"")</f>
        <v>#REF!</v>
      </c>
      <c r="V19" s="21" t="str">
        <f>IF(AND('Mapa final'!$Y$31="Alta",'Mapa final'!$AA$31="Moderado"),CONCATENATE("R4C",'Mapa final'!$O$31),"")</f>
        <v/>
      </c>
      <c r="W19" s="22" t="str">
        <f>IF(AND('Mapa final'!$Y$32="Alta",'Mapa final'!$AA$32="Moderado"),CONCATENATE("R4C",'Mapa final'!$O$32),"")</f>
        <v/>
      </c>
      <c r="X19" s="22" t="e">
        <f>IF(AND('Mapa final'!#REF!="Alta",'Mapa final'!#REF!="Moderado"),CONCATENATE("R4C",'Mapa final'!#REF!),"")</f>
        <v>#REF!</v>
      </c>
      <c r="Y19" s="22" t="str">
        <f>IF(AND('Mapa final'!$Y$33="Alta",'Mapa final'!$AA$33="Moderado"),CONCATENATE("R4C",'Mapa final'!$O$33),"")</f>
        <v/>
      </c>
      <c r="Z19" s="22" t="e">
        <f>IF(AND('Mapa final'!#REF!="Alta",'Mapa final'!#REF!="Moderado"),CONCATENATE("R4C",'Mapa final'!#REF!),"")</f>
        <v>#REF!</v>
      </c>
      <c r="AA19" s="23" t="e">
        <f>IF(AND('Mapa final'!#REF!="Alta",'Mapa final'!#REF!="Moderado"),CONCATENATE("R4C",'Mapa final'!#REF!),"")</f>
        <v>#REF!</v>
      </c>
      <c r="AB19" s="21" t="str">
        <f>IF(AND('Mapa final'!$Y$31="Alta",'Mapa final'!$AA$31="Mayor"),CONCATENATE("R4C",'Mapa final'!$O$31),"")</f>
        <v/>
      </c>
      <c r="AC19" s="22" t="str">
        <f>IF(AND('Mapa final'!$Y$32="Alta",'Mapa final'!$AA$32="Mayor"),CONCATENATE("R4C",'Mapa final'!$O$32),"")</f>
        <v/>
      </c>
      <c r="AD19" s="22" t="e">
        <f>IF(AND('Mapa final'!#REF!="Alta",'Mapa final'!#REF!="Mayor"),CONCATENATE("R4C",'Mapa final'!#REF!),"")</f>
        <v>#REF!</v>
      </c>
      <c r="AE19" s="22" t="str">
        <f>IF(AND('Mapa final'!$Y$33="Alta",'Mapa final'!$AA$33="Mayor"),CONCATENATE("R4C",'Mapa final'!$O$33),"")</f>
        <v/>
      </c>
      <c r="AF19" s="22" t="e">
        <f>IF(AND('Mapa final'!#REF!="Alta",'Mapa final'!#REF!="Mayor"),CONCATENATE("R4C",'Mapa final'!#REF!),"")</f>
        <v>#REF!</v>
      </c>
      <c r="AG19" s="23" t="e">
        <f>IF(AND('Mapa final'!#REF!="Alta",'Mapa final'!#REF!="Mayor"),CONCATENATE("R4C",'Mapa final'!#REF!),"")</f>
        <v>#REF!</v>
      </c>
      <c r="AH19" s="24" t="str">
        <f>IF(AND('Mapa final'!$Y$31="Alta",'Mapa final'!$AA$31="Catastrófico"),CONCATENATE("R4C",'Mapa final'!$O$31),"")</f>
        <v/>
      </c>
      <c r="AI19" s="25" t="str">
        <f>IF(AND('Mapa final'!$Y$32="Alta",'Mapa final'!$AA$32="Catastrófico"),CONCATENATE("R4C",'Mapa final'!$O$32),"")</f>
        <v/>
      </c>
      <c r="AJ19" s="25" t="e">
        <f>IF(AND('Mapa final'!#REF!="Alta",'Mapa final'!#REF!="Catastrófico"),CONCATENATE("R4C",'Mapa final'!#REF!),"")</f>
        <v>#REF!</v>
      </c>
      <c r="AK19" s="25" t="str">
        <f>IF(AND('Mapa final'!$Y$33="Alta",'Mapa final'!$AA$33="Catastrófico"),CONCATENATE("R4C",'Mapa final'!$O$33),"")</f>
        <v/>
      </c>
      <c r="AL19" s="25" t="e">
        <f>IF(AND('Mapa final'!#REF!="Alta",'Mapa final'!#REF!="Catastrófico"),CONCATENATE("R4C",'Mapa final'!#REF!),"")</f>
        <v>#REF!</v>
      </c>
      <c r="AM19" s="26" t="e">
        <f>IF(AND('Mapa final'!#REF!="Alta",'Mapa final'!#REF!="Catastrófico"),CONCATENATE("R4C",'Mapa final'!#REF!),"")</f>
        <v>#REF!</v>
      </c>
      <c r="AN19" s="1"/>
      <c r="AO19" s="271"/>
      <c r="AP19" s="211"/>
      <c r="AQ19" s="211"/>
      <c r="AR19" s="211"/>
      <c r="AS19" s="211"/>
      <c r="AT19" s="272"/>
    </row>
    <row r="20" spans="2:46" ht="15" customHeight="1" x14ac:dyDescent="0.25">
      <c r="B20" s="288"/>
      <c r="C20" s="211"/>
      <c r="D20" s="212"/>
      <c r="E20" s="223"/>
      <c r="F20" s="211"/>
      <c r="G20" s="211"/>
      <c r="H20" s="211"/>
      <c r="I20" s="211"/>
      <c r="J20" s="36" t="str">
        <f>IF(AND('Mapa final'!$Y$36="Alta",'Mapa final'!$AA$36="Leve"),CONCATENATE("R5C",'Mapa final'!$O$36),"")</f>
        <v/>
      </c>
      <c r="K20" s="37" t="str">
        <f>IF(AND('Mapa final'!$Y$37="Alta",'Mapa final'!$AA$37="Leve"),CONCATENATE("R5C",'Mapa final'!$O$37),"")</f>
        <v/>
      </c>
      <c r="L20" s="37" t="str">
        <f>IF(AND('Mapa final'!$Y$38="Alta",'Mapa final'!$AA$38="Leve"),CONCATENATE("R5C",'Mapa final'!$O$38),"")</f>
        <v/>
      </c>
      <c r="M20" s="37" t="e">
        <f>IF(AND('Mapa final'!#REF!="Alta",'Mapa final'!#REF!="Leve"),CONCATENATE("R5C",'Mapa final'!#REF!),"")</f>
        <v>#REF!</v>
      </c>
      <c r="N20" s="37" t="e">
        <f>IF(AND('Mapa final'!#REF!="Alta",'Mapa final'!#REF!="Leve"),CONCATENATE("R5C",'Mapa final'!#REF!),"")</f>
        <v>#REF!</v>
      </c>
      <c r="O20" s="38" t="e">
        <f>IF(AND('Mapa final'!#REF!="Alta",'Mapa final'!#REF!="Leve"),CONCATENATE("R5C",'Mapa final'!#REF!),"")</f>
        <v>#REF!</v>
      </c>
      <c r="P20" s="36" t="str">
        <f>IF(AND('Mapa final'!$Y$36="Alta",'Mapa final'!$AA$36="Menor"),CONCATENATE("R5C",'Mapa final'!$O$36),"")</f>
        <v/>
      </c>
      <c r="Q20" s="37" t="str">
        <f>IF(AND('Mapa final'!$Y$37="Alta",'Mapa final'!$AA$37="Menor"),CONCATENATE("R5C",'Mapa final'!$O$37),"")</f>
        <v/>
      </c>
      <c r="R20" s="37" t="str">
        <f>IF(AND('Mapa final'!$Y$38="Alta",'Mapa final'!$AA$38="Menor"),CONCATENATE("R5C",'Mapa final'!$O$38),"")</f>
        <v/>
      </c>
      <c r="S20" s="37" t="e">
        <f>IF(AND('Mapa final'!#REF!="Alta",'Mapa final'!#REF!="Menor"),CONCATENATE("R5C",'Mapa final'!#REF!),"")</f>
        <v>#REF!</v>
      </c>
      <c r="T20" s="37" t="e">
        <f>IF(AND('Mapa final'!#REF!="Alta",'Mapa final'!#REF!="Menor"),CONCATENATE("R5C",'Mapa final'!#REF!),"")</f>
        <v>#REF!</v>
      </c>
      <c r="U20" s="38" t="e">
        <f>IF(AND('Mapa final'!#REF!="Alta",'Mapa final'!#REF!="Menor"),CONCATENATE("R5C",'Mapa final'!#REF!),"")</f>
        <v>#REF!</v>
      </c>
      <c r="V20" s="21" t="str">
        <f>IF(AND('Mapa final'!$Y$36="Alta",'Mapa final'!$AA$36="Moderado"),CONCATENATE("R5C",'Mapa final'!$O$36),"")</f>
        <v/>
      </c>
      <c r="W20" s="22" t="str">
        <f>IF(AND('Mapa final'!$Y$37="Alta",'Mapa final'!$AA$37="Moderado"),CONCATENATE("R5C",'Mapa final'!$O$37),"")</f>
        <v/>
      </c>
      <c r="X20" s="22" t="str">
        <f>IF(AND('Mapa final'!$Y$38="Alta",'Mapa final'!$AA$38="Moderado"),CONCATENATE("R5C",'Mapa final'!$O$38),"")</f>
        <v/>
      </c>
      <c r="Y20" s="22" t="e">
        <f>IF(AND('Mapa final'!#REF!="Alta",'Mapa final'!#REF!="Moderado"),CONCATENATE("R5C",'Mapa final'!#REF!),"")</f>
        <v>#REF!</v>
      </c>
      <c r="Z20" s="22" t="e">
        <f>IF(AND('Mapa final'!#REF!="Alta",'Mapa final'!#REF!="Moderado"),CONCATENATE("R5C",'Mapa final'!#REF!),"")</f>
        <v>#REF!</v>
      </c>
      <c r="AA20" s="23" t="e">
        <f>IF(AND('Mapa final'!#REF!="Alta",'Mapa final'!#REF!="Moderado"),CONCATENATE("R5C",'Mapa final'!#REF!),"")</f>
        <v>#REF!</v>
      </c>
      <c r="AB20" s="21" t="str">
        <f>IF(AND('Mapa final'!$Y$36="Alta",'Mapa final'!$AA$36="Mayor"),CONCATENATE("R5C",'Mapa final'!$O$36),"")</f>
        <v/>
      </c>
      <c r="AC20" s="22" t="str">
        <f>IF(AND('Mapa final'!$Y$37="Alta",'Mapa final'!$AA$37="Mayor"),CONCATENATE("R5C",'Mapa final'!$O$37),"")</f>
        <v/>
      </c>
      <c r="AD20" s="22" t="str">
        <f>IF(AND('Mapa final'!$Y$38="Alta",'Mapa final'!$AA$38="Mayor"),CONCATENATE("R5C",'Mapa final'!$O$38),"")</f>
        <v/>
      </c>
      <c r="AE20" s="22" t="e">
        <f>IF(AND('Mapa final'!#REF!="Alta",'Mapa final'!#REF!="Mayor"),CONCATENATE("R5C",'Mapa final'!#REF!),"")</f>
        <v>#REF!</v>
      </c>
      <c r="AF20" s="22" t="e">
        <f>IF(AND('Mapa final'!#REF!="Alta",'Mapa final'!#REF!="Mayor"),CONCATENATE("R5C",'Mapa final'!#REF!),"")</f>
        <v>#REF!</v>
      </c>
      <c r="AG20" s="23" t="e">
        <f>IF(AND('Mapa final'!#REF!="Alta",'Mapa final'!#REF!="Mayor"),CONCATENATE("R5C",'Mapa final'!#REF!),"")</f>
        <v>#REF!</v>
      </c>
      <c r="AH20" s="24" t="str">
        <f>IF(AND('Mapa final'!$Y$36="Alta",'Mapa final'!$AA$36="Catastrófico"),CONCATENATE("R5C",'Mapa final'!$O$36),"")</f>
        <v/>
      </c>
      <c r="AI20" s="25" t="str">
        <f>IF(AND('Mapa final'!$Y$37="Alta",'Mapa final'!$AA$37="Catastrófico"),CONCATENATE("R5C",'Mapa final'!$O$37),"")</f>
        <v/>
      </c>
      <c r="AJ20" s="25" t="str">
        <f>IF(AND('Mapa final'!$Y$38="Alta",'Mapa final'!$AA$38="Catastrófico"),CONCATENATE("R5C",'Mapa final'!$O$38),"")</f>
        <v/>
      </c>
      <c r="AK20" s="25" t="e">
        <f>IF(AND('Mapa final'!#REF!="Alta",'Mapa final'!#REF!="Catastrófico"),CONCATENATE("R5C",'Mapa final'!#REF!),"")</f>
        <v>#REF!</v>
      </c>
      <c r="AL20" s="25" t="e">
        <f>IF(AND('Mapa final'!#REF!="Alta",'Mapa final'!#REF!="Catastrófico"),CONCATENATE("R5C",'Mapa final'!#REF!),"")</f>
        <v>#REF!</v>
      </c>
      <c r="AM20" s="26" t="e">
        <f>IF(AND('Mapa final'!#REF!="Alta",'Mapa final'!#REF!="Catastrófico"),CONCATENATE("R5C",'Mapa final'!#REF!),"")</f>
        <v>#REF!</v>
      </c>
      <c r="AN20" s="1"/>
      <c r="AO20" s="271"/>
      <c r="AP20" s="211"/>
      <c r="AQ20" s="211"/>
      <c r="AR20" s="211"/>
      <c r="AS20" s="211"/>
      <c r="AT20" s="272"/>
    </row>
    <row r="21" spans="2:46" ht="15" customHeight="1" x14ac:dyDescent="0.25">
      <c r="B21" s="288"/>
      <c r="C21" s="211"/>
      <c r="D21" s="212"/>
      <c r="E21" s="223"/>
      <c r="F21" s="211"/>
      <c r="G21" s="211"/>
      <c r="H21" s="211"/>
      <c r="I21" s="211"/>
      <c r="J21" s="36" t="str">
        <f>IF(AND('Mapa final'!$Y$41="Alta",'Mapa final'!$AA$41="Leve"),CONCATENATE("R6C",'Mapa final'!$O$41),"")</f>
        <v/>
      </c>
      <c r="K21" s="37" t="str">
        <f>IF(AND('Mapa final'!$Y$42="Alta",'Mapa final'!$AA$42="Leve"),CONCATENATE("R6C",'Mapa final'!$O$42),"")</f>
        <v/>
      </c>
      <c r="L21" s="37" t="str">
        <f>IF(AND('Mapa final'!$Y$43="Alta",'Mapa final'!$AA$43="Leve"),CONCATENATE("R6C",'Mapa final'!$O$43),"")</f>
        <v/>
      </c>
      <c r="M21" s="37" t="e">
        <f>IF(AND('Mapa final'!#REF!="Alta",'Mapa final'!#REF!="Leve"),CONCATENATE("R6C",'Mapa final'!#REF!),"")</f>
        <v>#REF!</v>
      </c>
      <c r="N21" s="37" t="e">
        <f>IF(AND('Mapa final'!#REF!="Alta",'Mapa final'!#REF!="Leve"),CONCATENATE("R6C",'Mapa final'!#REF!),"")</f>
        <v>#REF!</v>
      </c>
      <c r="O21" s="38" t="e">
        <f>IF(AND('Mapa final'!#REF!="Alta",'Mapa final'!#REF!="Leve"),CONCATENATE("R6C",'Mapa final'!#REF!),"")</f>
        <v>#REF!</v>
      </c>
      <c r="P21" s="36" t="str">
        <f>IF(AND('Mapa final'!$Y$41="Alta",'Mapa final'!$AA$41="Menor"),CONCATENATE("R6C",'Mapa final'!$O$41),"")</f>
        <v/>
      </c>
      <c r="Q21" s="37" t="str">
        <f>IF(AND('Mapa final'!$Y$42="Alta",'Mapa final'!$AA$42="Menor"),CONCATENATE("R6C",'Mapa final'!$O$42),"")</f>
        <v/>
      </c>
      <c r="R21" s="37" t="str">
        <f>IF(AND('Mapa final'!$Y$43="Alta",'Mapa final'!$AA$43="Menor"),CONCATENATE("R6C",'Mapa final'!$O$43),"")</f>
        <v/>
      </c>
      <c r="S21" s="37" t="e">
        <f>IF(AND('Mapa final'!#REF!="Alta",'Mapa final'!#REF!="Menor"),CONCATENATE("R6C",'Mapa final'!#REF!),"")</f>
        <v>#REF!</v>
      </c>
      <c r="T21" s="37" t="e">
        <f>IF(AND('Mapa final'!#REF!="Alta",'Mapa final'!#REF!="Menor"),CONCATENATE("R6C",'Mapa final'!#REF!),"")</f>
        <v>#REF!</v>
      </c>
      <c r="U21" s="38" t="e">
        <f>IF(AND('Mapa final'!#REF!="Alta",'Mapa final'!#REF!="Menor"),CONCATENATE("R6C",'Mapa final'!#REF!),"")</f>
        <v>#REF!</v>
      </c>
      <c r="V21" s="21" t="str">
        <f>IF(AND('Mapa final'!$Y$41="Alta",'Mapa final'!$AA$41="Moderado"),CONCATENATE("R6C",'Mapa final'!$O$41),"")</f>
        <v/>
      </c>
      <c r="W21" s="22" t="str">
        <f>IF(AND('Mapa final'!$Y$42="Alta",'Mapa final'!$AA$42="Moderado"),CONCATENATE("R6C",'Mapa final'!$O$42),"")</f>
        <v/>
      </c>
      <c r="X21" s="22" t="str">
        <f>IF(AND('Mapa final'!$Y$43="Alta",'Mapa final'!$AA$43="Moderado"),CONCATENATE("R6C",'Mapa final'!$O$43),"")</f>
        <v/>
      </c>
      <c r="Y21" s="22" t="e">
        <f>IF(AND('Mapa final'!#REF!="Alta",'Mapa final'!#REF!="Moderado"),CONCATENATE("R6C",'Mapa final'!#REF!),"")</f>
        <v>#REF!</v>
      </c>
      <c r="Z21" s="22" t="e">
        <f>IF(AND('Mapa final'!#REF!="Alta",'Mapa final'!#REF!="Moderado"),CONCATENATE("R6C",'Mapa final'!#REF!),"")</f>
        <v>#REF!</v>
      </c>
      <c r="AA21" s="23" t="e">
        <f>IF(AND('Mapa final'!#REF!="Alta",'Mapa final'!#REF!="Moderado"),CONCATENATE("R6C",'Mapa final'!#REF!),"")</f>
        <v>#REF!</v>
      </c>
      <c r="AB21" s="21" t="str">
        <f>IF(AND('Mapa final'!$Y$41="Alta",'Mapa final'!$AA$41="Mayor"),CONCATENATE("R6C",'Mapa final'!$O$41),"")</f>
        <v/>
      </c>
      <c r="AC21" s="22" t="str">
        <f>IF(AND('Mapa final'!$Y$42="Alta",'Mapa final'!$AA$42="Mayor"),CONCATENATE("R6C",'Mapa final'!$O$42),"")</f>
        <v/>
      </c>
      <c r="AD21" s="22" t="str">
        <f>IF(AND('Mapa final'!$Y$43="Alta",'Mapa final'!$AA$43="Mayor"),CONCATENATE("R6C",'Mapa final'!$O$43),"")</f>
        <v/>
      </c>
      <c r="AE21" s="22" t="e">
        <f>IF(AND('Mapa final'!#REF!="Alta",'Mapa final'!#REF!="Mayor"),CONCATENATE("R6C",'Mapa final'!#REF!),"")</f>
        <v>#REF!</v>
      </c>
      <c r="AF21" s="22" t="e">
        <f>IF(AND('Mapa final'!#REF!="Alta",'Mapa final'!#REF!="Mayor"),CONCATENATE("R6C",'Mapa final'!#REF!),"")</f>
        <v>#REF!</v>
      </c>
      <c r="AG21" s="23" t="e">
        <f>IF(AND('Mapa final'!#REF!="Alta",'Mapa final'!#REF!="Mayor"),CONCATENATE("R6C",'Mapa final'!#REF!),"")</f>
        <v>#REF!</v>
      </c>
      <c r="AH21" s="24" t="str">
        <f>IF(AND('Mapa final'!$Y$41="Alta",'Mapa final'!$AA$41="Catastrófico"),CONCATENATE("R6C",'Mapa final'!$O$41),"")</f>
        <v/>
      </c>
      <c r="AI21" s="25" t="str">
        <f>IF(AND('Mapa final'!$Y$42="Alta",'Mapa final'!$AA$42="Catastrófico"),CONCATENATE("R6C",'Mapa final'!$O$42),"")</f>
        <v/>
      </c>
      <c r="AJ21" s="25" t="str">
        <f>IF(AND('Mapa final'!$Y$43="Alta",'Mapa final'!$AA$43="Catastrófico"),CONCATENATE("R6C",'Mapa final'!$O$43),"")</f>
        <v/>
      </c>
      <c r="AK21" s="25" t="e">
        <f>IF(AND('Mapa final'!#REF!="Alta",'Mapa final'!#REF!="Catastrófico"),CONCATENATE("R6C",'Mapa final'!#REF!),"")</f>
        <v>#REF!</v>
      </c>
      <c r="AL21" s="25" t="e">
        <f>IF(AND('Mapa final'!#REF!="Alta",'Mapa final'!#REF!="Catastrófico"),CONCATENATE("R6C",'Mapa final'!#REF!),"")</f>
        <v>#REF!</v>
      </c>
      <c r="AM21" s="26" t="e">
        <f>IF(AND('Mapa final'!#REF!="Alta",'Mapa final'!#REF!="Catastrófico"),CONCATENATE("R6C",'Mapa final'!#REF!),"")</f>
        <v>#REF!</v>
      </c>
      <c r="AN21" s="1"/>
      <c r="AO21" s="271"/>
      <c r="AP21" s="211"/>
      <c r="AQ21" s="211"/>
      <c r="AR21" s="211"/>
      <c r="AS21" s="211"/>
      <c r="AT21" s="272"/>
    </row>
    <row r="22" spans="2:46" ht="15" customHeight="1" x14ac:dyDescent="0.25">
      <c r="B22" s="288"/>
      <c r="C22" s="211"/>
      <c r="D22" s="212"/>
      <c r="E22" s="223"/>
      <c r="F22" s="211"/>
      <c r="G22" s="211"/>
      <c r="H22" s="211"/>
      <c r="I22" s="211"/>
      <c r="J22" s="36" t="e">
        <f>IF(AND('Mapa final'!#REF!="Alta",'Mapa final'!#REF!="Leve"),CONCATENATE("R7C",'Mapa final'!#REF!),"")</f>
        <v>#REF!</v>
      </c>
      <c r="K22" s="37" t="e">
        <f>IF(AND('Mapa final'!#REF!="Alta",'Mapa final'!#REF!="Leve"),CONCATENATE("R7C",'Mapa final'!#REF!),"")</f>
        <v>#REF!</v>
      </c>
      <c r="L22" s="37" t="e">
        <f>IF(AND('Mapa final'!#REF!="Alta",'Mapa final'!#REF!="Leve"),CONCATENATE("R7C",'Mapa final'!#REF!),"")</f>
        <v>#REF!</v>
      </c>
      <c r="M22" s="37" t="e">
        <f>IF(AND('Mapa final'!#REF!="Alta",'Mapa final'!#REF!="Leve"),CONCATENATE("R7C",'Mapa final'!#REF!),"")</f>
        <v>#REF!</v>
      </c>
      <c r="N22" s="37" t="e">
        <f>IF(AND('Mapa final'!#REF!="Alta",'Mapa final'!#REF!="Leve"),CONCATENATE("R7C",'Mapa final'!#REF!),"")</f>
        <v>#REF!</v>
      </c>
      <c r="O22" s="38" t="e">
        <f>IF(AND('Mapa final'!#REF!="Alta",'Mapa final'!#REF!="Leve"),CONCATENATE("R7C",'Mapa final'!#REF!),"")</f>
        <v>#REF!</v>
      </c>
      <c r="P22" s="36" t="e">
        <f>IF(AND('Mapa final'!#REF!="Alta",'Mapa final'!#REF!="Menor"),CONCATENATE("R7C",'Mapa final'!#REF!),"")</f>
        <v>#REF!</v>
      </c>
      <c r="Q22" s="37" t="e">
        <f>IF(AND('Mapa final'!#REF!="Alta",'Mapa final'!#REF!="Menor"),CONCATENATE("R7C",'Mapa final'!#REF!),"")</f>
        <v>#REF!</v>
      </c>
      <c r="R22" s="37" t="e">
        <f>IF(AND('Mapa final'!#REF!="Alta",'Mapa final'!#REF!="Menor"),CONCATENATE("R7C",'Mapa final'!#REF!),"")</f>
        <v>#REF!</v>
      </c>
      <c r="S22" s="37" t="e">
        <f>IF(AND('Mapa final'!#REF!="Alta",'Mapa final'!#REF!="Menor"),CONCATENATE("R7C",'Mapa final'!#REF!),"")</f>
        <v>#REF!</v>
      </c>
      <c r="T22" s="37" t="e">
        <f>IF(AND('Mapa final'!#REF!="Alta",'Mapa final'!#REF!="Menor"),CONCATENATE("R7C",'Mapa final'!#REF!),"")</f>
        <v>#REF!</v>
      </c>
      <c r="U22" s="38" t="e">
        <f>IF(AND('Mapa final'!#REF!="Alta",'Mapa final'!#REF!="Menor"),CONCATENATE("R7C",'Mapa final'!#REF!),"")</f>
        <v>#REF!</v>
      </c>
      <c r="V22" s="21" t="e">
        <f>IF(AND('Mapa final'!#REF!="Alta",'Mapa final'!#REF!="Moderado"),CONCATENATE("R7C",'Mapa final'!#REF!),"")</f>
        <v>#REF!</v>
      </c>
      <c r="W22" s="22" t="e">
        <f>IF(AND('Mapa final'!#REF!="Alta",'Mapa final'!#REF!="Moderado"),CONCATENATE("R7C",'Mapa final'!#REF!),"")</f>
        <v>#REF!</v>
      </c>
      <c r="X22" s="22" t="e">
        <f>IF(AND('Mapa final'!#REF!="Alta",'Mapa final'!#REF!="Moderado"),CONCATENATE("R7C",'Mapa final'!#REF!),"")</f>
        <v>#REF!</v>
      </c>
      <c r="Y22" s="22" t="e">
        <f>IF(AND('Mapa final'!#REF!="Alta",'Mapa final'!#REF!="Moderado"),CONCATENATE("R7C",'Mapa final'!#REF!),"")</f>
        <v>#REF!</v>
      </c>
      <c r="Z22" s="22" t="e">
        <f>IF(AND('Mapa final'!#REF!="Alta",'Mapa final'!#REF!="Moderado"),CONCATENATE("R7C",'Mapa final'!#REF!),"")</f>
        <v>#REF!</v>
      </c>
      <c r="AA22" s="23" t="e">
        <f>IF(AND('Mapa final'!#REF!="Alta",'Mapa final'!#REF!="Moderado"),CONCATENATE("R7C",'Mapa final'!#REF!),"")</f>
        <v>#REF!</v>
      </c>
      <c r="AB22" s="21" t="e">
        <f>IF(AND('Mapa final'!#REF!="Alta",'Mapa final'!#REF!="Mayor"),CONCATENATE("R7C",'Mapa final'!#REF!),"")</f>
        <v>#REF!</v>
      </c>
      <c r="AC22" s="22" t="e">
        <f>IF(AND('Mapa final'!#REF!="Alta",'Mapa final'!#REF!="Mayor"),CONCATENATE("R7C",'Mapa final'!#REF!),"")</f>
        <v>#REF!</v>
      </c>
      <c r="AD22" s="22" t="e">
        <f>IF(AND('Mapa final'!#REF!="Alta",'Mapa final'!#REF!="Mayor"),CONCATENATE("R7C",'Mapa final'!#REF!),"")</f>
        <v>#REF!</v>
      </c>
      <c r="AE22" s="22" t="e">
        <f>IF(AND('Mapa final'!#REF!="Alta",'Mapa final'!#REF!="Mayor"),CONCATENATE("R7C",'Mapa final'!#REF!),"")</f>
        <v>#REF!</v>
      </c>
      <c r="AF22" s="22" t="e">
        <f>IF(AND('Mapa final'!#REF!="Alta",'Mapa final'!#REF!="Mayor"),CONCATENATE("R7C",'Mapa final'!#REF!),"")</f>
        <v>#REF!</v>
      </c>
      <c r="AG22" s="23" t="e">
        <f>IF(AND('Mapa final'!#REF!="Alta",'Mapa final'!#REF!="Mayor"),CONCATENATE("R7C",'Mapa final'!#REF!),"")</f>
        <v>#REF!</v>
      </c>
      <c r="AH22" s="24" t="e">
        <f>IF(AND('Mapa final'!#REF!="Alta",'Mapa final'!#REF!="Catastrófico"),CONCATENATE("R7C",'Mapa final'!#REF!),"")</f>
        <v>#REF!</v>
      </c>
      <c r="AI22" s="25" t="e">
        <f>IF(AND('Mapa final'!#REF!="Alta",'Mapa final'!#REF!="Catastrófico"),CONCATENATE("R7C",'Mapa final'!#REF!),"")</f>
        <v>#REF!</v>
      </c>
      <c r="AJ22" s="25" t="e">
        <f>IF(AND('Mapa final'!#REF!="Alta",'Mapa final'!#REF!="Catastrófico"),CONCATENATE("R7C",'Mapa final'!#REF!),"")</f>
        <v>#REF!</v>
      </c>
      <c r="AK22" s="25" t="e">
        <f>IF(AND('Mapa final'!#REF!="Alta",'Mapa final'!#REF!="Catastrófico"),CONCATENATE("R7C",'Mapa final'!#REF!),"")</f>
        <v>#REF!</v>
      </c>
      <c r="AL22" s="25" t="e">
        <f>IF(AND('Mapa final'!#REF!="Alta",'Mapa final'!#REF!="Catastrófico"),CONCATENATE("R7C",'Mapa final'!#REF!),"")</f>
        <v>#REF!</v>
      </c>
      <c r="AM22" s="26" t="e">
        <f>IF(AND('Mapa final'!#REF!="Alta",'Mapa final'!#REF!="Catastrófico"),CONCATENATE("R7C",'Mapa final'!#REF!),"")</f>
        <v>#REF!</v>
      </c>
      <c r="AN22" s="1"/>
      <c r="AO22" s="271"/>
      <c r="AP22" s="211"/>
      <c r="AQ22" s="211"/>
      <c r="AR22" s="211"/>
      <c r="AS22" s="211"/>
      <c r="AT22" s="272"/>
    </row>
    <row r="23" spans="2:46" ht="15" customHeight="1" x14ac:dyDescent="0.25">
      <c r="B23" s="288"/>
      <c r="C23" s="211"/>
      <c r="D23" s="212"/>
      <c r="E23" s="223"/>
      <c r="F23" s="211"/>
      <c r="G23" s="211"/>
      <c r="H23" s="211"/>
      <c r="I23" s="211"/>
      <c r="J23" s="36" t="e">
        <f>IF(AND('Mapa final'!#REF!="Alta",'Mapa final'!#REF!="Leve"),CONCATENATE("R8C",'Mapa final'!#REF!),"")</f>
        <v>#REF!</v>
      </c>
      <c r="K23" s="37" t="e">
        <f>IF(AND('Mapa final'!#REF!="Alta",'Mapa final'!#REF!="Leve"),CONCATENATE("R8C",'Mapa final'!#REF!),"")</f>
        <v>#REF!</v>
      </c>
      <c r="L23" s="37" t="e">
        <f>IF(AND('Mapa final'!#REF!="Alta",'Mapa final'!#REF!="Leve"),CONCATENATE("R8C",'Mapa final'!#REF!),"")</f>
        <v>#REF!</v>
      </c>
      <c r="M23" s="37" t="e">
        <f>IF(AND('Mapa final'!#REF!="Alta",'Mapa final'!#REF!="Leve"),CONCATENATE("R8C",'Mapa final'!#REF!),"")</f>
        <v>#REF!</v>
      </c>
      <c r="N23" s="37" t="e">
        <f>IF(AND('Mapa final'!#REF!="Alta",'Mapa final'!#REF!="Leve"),CONCATENATE("R8C",'Mapa final'!#REF!),"")</f>
        <v>#REF!</v>
      </c>
      <c r="O23" s="38" t="e">
        <f>IF(AND('Mapa final'!#REF!="Alta",'Mapa final'!#REF!="Leve"),CONCATENATE("R8C",'Mapa final'!#REF!),"")</f>
        <v>#REF!</v>
      </c>
      <c r="P23" s="36" t="e">
        <f>IF(AND('Mapa final'!#REF!="Alta",'Mapa final'!#REF!="Menor"),CONCATENATE("R8C",'Mapa final'!#REF!),"")</f>
        <v>#REF!</v>
      </c>
      <c r="Q23" s="37" t="e">
        <f>IF(AND('Mapa final'!#REF!="Alta",'Mapa final'!#REF!="Menor"),CONCATENATE("R8C",'Mapa final'!#REF!),"")</f>
        <v>#REF!</v>
      </c>
      <c r="R23" s="37" t="e">
        <f>IF(AND('Mapa final'!#REF!="Alta",'Mapa final'!#REF!="Menor"),CONCATENATE("R8C",'Mapa final'!#REF!),"")</f>
        <v>#REF!</v>
      </c>
      <c r="S23" s="37" t="e">
        <f>IF(AND('Mapa final'!#REF!="Alta",'Mapa final'!#REF!="Menor"),CONCATENATE("R8C",'Mapa final'!#REF!),"")</f>
        <v>#REF!</v>
      </c>
      <c r="T23" s="37" t="e">
        <f>IF(AND('Mapa final'!#REF!="Alta",'Mapa final'!#REF!="Menor"),CONCATENATE("R8C",'Mapa final'!#REF!),"")</f>
        <v>#REF!</v>
      </c>
      <c r="U23" s="38" t="e">
        <f>IF(AND('Mapa final'!#REF!="Alta",'Mapa final'!#REF!="Menor"),CONCATENATE("R8C",'Mapa final'!#REF!),"")</f>
        <v>#REF!</v>
      </c>
      <c r="V23" s="21" t="e">
        <f>IF(AND('Mapa final'!#REF!="Alta",'Mapa final'!#REF!="Moderado"),CONCATENATE("R8C",'Mapa final'!#REF!),"")</f>
        <v>#REF!</v>
      </c>
      <c r="W23" s="22" t="e">
        <f>IF(AND('Mapa final'!#REF!="Alta",'Mapa final'!#REF!="Moderado"),CONCATENATE("R8C",'Mapa final'!#REF!),"")</f>
        <v>#REF!</v>
      </c>
      <c r="X23" s="22" t="e">
        <f>IF(AND('Mapa final'!#REF!="Alta",'Mapa final'!#REF!="Moderado"),CONCATENATE("R8C",'Mapa final'!#REF!),"")</f>
        <v>#REF!</v>
      </c>
      <c r="Y23" s="22" t="e">
        <f>IF(AND('Mapa final'!#REF!="Alta",'Mapa final'!#REF!="Moderado"),CONCATENATE("R8C",'Mapa final'!#REF!),"")</f>
        <v>#REF!</v>
      </c>
      <c r="Z23" s="22" t="e">
        <f>IF(AND('Mapa final'!#REF!="Alta",'Mapa final'!#REF!="Moderado"),CONCATENATE("R8C",'Mapa final'!#REF!),"")</f>
        <v>#REF!</v>
      </c>
      <c r="AA23" s="23" t="e">
        <f>IF(AND('Mapa final'!#REF!="Alta",'Mapa final'!#REF!="Moderado"),CONCATENATE("R8C",'Mapa final'!#REF!),"")</f>
        <v>#REF!</v>
      </c>
      <c r="AB23" s="21" t="e">
        <f>IF(AND('Mapa final'!#REF!="Alta",'Mapa final'!#REF!="Mayor"),CONCATENATE("R8C",'Mapa final'!#REF!),"")</f>
        <v>#REF!</v>
      </c>
      <c r="AC23" s="22" t="e">
        <f>IF(AND('Mapa final'!#REF!="Alta",'Mapa final'!#REF!="Mayor"),CONCATENATE("R8C",'Mapa final'!#REF!),"")</f>
        <v>#REF!</v>
      </c>
      <c r="AD23" s="22" t="e">
        <f>IF(AND('Mapa final'!#REF!="Alta",'Mapa final'!#REF!="Mayor"),CONCATENATE("R8C",'Mapa final'!#REF!),"")</f>
        <v>#REF!</v>
      </c>
      <c r="AE23" s="22" t="e">
        <f>IF(AND('Mapa final'!#REF!="Alta",'Mapa final'!#REF!="Mayor"),CONCATENATE("R8C",'Mapa final'!#REF!),"")</f>
        <v>#REF!</v>
      </c>
      <c r="AF23" s="22" t="e">
        <f>IF(AND('Mapa final'!#REF!="Alta",'Mapa final'!#REF!="Mayor"),CONCATENATE("R8C",'Mapa final'!#REF!),"")</f>
        <v>#REF!</v>
      </c>
      <c r="AG23" s="23" t="e">
        <f>IF(AND('Mapa final'!#REF!="Alta",'Mapa final'!#REF!="Mayor"),CONCATENATE("R8C",'Mapa final'!#REF!),"")</f>
        <v>#REF!</v>
      </c>
      <c r="AH23" s="24" t="e">
        <f>IF(AND('Mapa final'!#REF!="Alta",'Mapa final'!#REF!="Catastrófico"),CONCATENATE("R8C",'Mapa final'!#REF!),"")</f>
        <v>#REF!</v>
      </c>
      <c r="AI23" s="25" t="e">
        <f>IF(AND('Mapa final'!#REF!="Alta",'Mapa final'!#REF!="Catastrófico"),CONCATENATE("R8C",'Mapa final'!#REF!),"")</f>
        <v>#REF!</v>
      </c>
      <c r="AJ23" s="25" t="e">
        <f>IF(AND('Mapa final'!#REF!="Alta",'Mapa final'!#REF!="Catastrófico"),CONCATENATE("R8C",'Mapa final'!#REF!),"")</f>
        <v>#REF!</v>
      </c>
      <c r="AK23" s="25" t="e">
        <f>IF(AND('Mapa final'!#REF!="Alta",'Mapa final'!#REF!="Catastrófico"),CONCATENATE("R8C",'Mapa final'!#REF!),"")</f>
        <v>#REF!</v>
      </c>
      <c r="AL23" s="25" t="e">
        <f>IF(AND('Mapa final'!#REF!="Alta",'Mapa final'!#REF!="Catastrófico"),CONCATENATE("R8C",'Mapa final'!#REF!),"")</f>
        <v>#REF!</v>
      </c>
      <c r="AM23" s="26" t="e">
        <f>IF(AND('Mapa final'!#REF!="Alta",'Mapa final'!#REF!="Catastrófico"),CONCATENATE("R8C",'Mapa final'!#REF!),"")</f>
        <v>#REF!</v>
      </c>
      <c r="AN23" s="1"/>
      <c r="AO23" s="271"/>
      <c r="AP23" s="211"/>
      <c r="AQ23" s="211"/>
      <c r="AR23" s="211"/>
      <c r="AS23" s="211"/>
      <c r="AT23" s="272"/>
    </row>
    <row r="24" spans="2:46" ht="15" customHeight="1" x14ac:dyDescent="0.25">
      <c r="B24" s="288"/>
      <c r="C24" s="211"/>
      <c r="D24" s="212"/>
      <c r="E24" s="223"/>
      <c r="F24" s="211"/>
      <c r="G24" s="211"/>
      <c r="H24" s="211"/>
      <c r="I24" s="211"/>
      <c r="J24" s="36" t="e">
        <f>IF(AND('Mapa final'!#REF!="Alta",'Mapa final'!#REF!="Leve"),CONCATENATE("R9C",'Mapa final'!#REF!),"")</f>
        <v>#REF!</v>
      </c>
      <c r="K24" s="37" t="e">
        <f>IF(AND('Mapa final'!#REF!="Alta",'Mapa final'!#REF!="Leve"),CONCATENATE("R9C",'Mapa final'!#REF!),"")</f>
        <v>#REF!</v>
      </c>
      <c r="L24" s="37" t="e">
        <f>IF(AND('Mapa final'!#REF!="Alta",'Mapa final'!#REF!="Leve"),CONCATENATE("R9C",'Mapa final'!#REF!),"")</f>
        <v>#REF!</v>
      </c>
      <c r="M24" s="37" t="e">
        <f>IF(AND('Mapa final'!#REF!="Alta",'Mapa final'!#REF!="Leve"),CONCATENATE("R9C",'Mapa final'!#REF!),"")</f>
        <v>#REF!</v>
      </c>
      <c r="N24" s="37" t="e">
        <f>IF(AND('Mapa final'!#REF!="Alta",'Mapa final'!#REF!="Leve"),CONCATENATE("R9C",'Mapa final'!#REF!),"")</f>
        <v>#REF!</v>
      </c>
      <c r="O24" s="38" t="e">
        <f>IF(AND('Mapa final'!#REF!="Alta",'Mapa final'!#REF!="Leve"),CONCATENATE("R9C",'Mapa final'!#REF!),"")</f>
        <v>#REF!</v>
      </c>
      <c r="P24" s="36" t="e">
        <f>IF(AND('Mapa final'!#REF!="Alta",'Mapa final'!#REF!="Menor"),CONCATENATE("R9C",'Mapa final'!#REF!),"")</f>
        <v>#REF!</v>
      </c>
      <c r="Q24" s="37" t="e">
        <f>IF(AND('Mapa final'!#REF!="Alta",'Mapa final'!#REF!="Menor"),CONCATENATE("R9C",'Mapa final'!#REF!),"")</f>
        <v>#REF!</v>
      </c>
      <c r="R24" s="37" t="e">
        <f>IF(AND('Mapa final'!#REF!="Alta",'Mapa final'!#REF!="Menor"),CONCATENATE("R9C",'Mapa final'!#REF!),"")</f>
        <v>#REF!</v>
      </c>
      <c r="S24" s="37" t="e">
        <f>IF(AND('Mapa final'!#REF!="Alta",'Mapa final'!#REF!="Menor"),CONCATENATE("R9C",'Mapa final'!#REF!),"")</f>
        <v>#REF!</v>
      </c>
      <c r="T24" s="37" t="e">
        <f>IF(AND('Mapa final'!#REF!="Alta",'Mapa final'!#REF!="Menor"),CONCATENATE("R9C",'Mapa final'!#REF!),"")</f>
        <v>#REF!</v>
      </c>
      <c r="U24" s="38" t="e">
        <f>IF(AND('Mapa final'!#REF!="Alta",'Mapa final'!#REF!="Menor"),CONCATENATE("R9C",'Mapa final'!#REF!),"")</f>
        <v>#REF!</v>
      </c>
      <c r="V24" s="21" t="e">
        <f>IF(AND('Mapa final'!#REF!="Alta",'Mapa final'!#REF!="Moderado"),CONCATENATE("R9C",'Mapa final'!#REF!),"")</f>
        <v>#REF!</v>
      </c>
      <c r="W24" s="22" t="e">
        <f>IF(AND('Mapa final'!#REF!="Alta",'Mapa final'!#REF!="Moderado"),CONCATENATE("R9C",'Mapa final'!#REF!),"")</f>
        <v>#REF!</v>
      </c>
      <c r="X24" s="22" t="e">
        <f>IF(AND('Mapa final'!#REF!="Alta",'Mapa final'!#REF!="Moderado"),CONCATENATE("R9C",'Mapa final'!#REF!),"")</f>
        <v>#REF!</v>
      </c>
      <c r="Y24" s="22" t="e">
        <f>IF(AND('Mapa final'!#REF!="Alta",'Mapa final'!#REF!="Moderado"),CONCATENATE("R9C",'Mapa final'!#REF!),"")</f>
        <v>#REF!</v>
      </c>
      <c r="Z24" s="22" t="e">
        <f>IF(AND('Mapa final'!#REF!="Alta",'Mapa final'!#REF!="Moderado"),CONCATENATE("R9C",'Mapa final'!#REF!),"")</f>
        <v>#REF!</v>
      </c>
      <c r="AA24" s="23" t="e">
        <f>IF(AND('Mapa final'!#REF!="Alta",'Mapa final'!#REF!="Moderado"),CONCATENATE("R9C",'Mapa final'!#REF!),"")</f>
        <v>#REF!</v>
      </c>
      <c r="AB24" s="21" t="e">
        <f>IF(AND('Mapa final'!#REF!="Alta",'Mapa final'!#REF!="Mayor"),CONCATENATE("R9C",'Mapa final'!#REF!),"")</f>
        <v>#REF!</v>
      </c>
      <c r="AC24" s="22" t="e">
        <f>IF(AND('Mapa final'!#REF!="Alta",'Mapa final'!#REF!="Mayor"),CONCATENATE("R9C",'Mapa final'!#REF!),"")</f>
        <v>#REF!</v>
      </c>
      <c r="AD24" s="22" t="e">
        <f>IF(AND('Mapa final'!#REF!="Alta",'Mapa final'!#REF!="Mayor"),CONCATENATE("R9C",'Mapa final'!#REF!),"")</f>
        <v>#REF!</v>
      </c>
      <c r="AE24" s="22" t="e">
        <f>IF(AND('Mapa final'!#REF!="Alta",'Mapa final'!#REF!="Mayor"),CONCATENATE("R9C",'Mapa final'!#REF!),"")</f>
        <v>#REF!</v>
      </c>
      <c r="AF24" s="22" t="e">
        <f>IF(AND('Mapa final'!#REF!="Alta",'Mapa final'!#REF!="Mayor"),CONCATENATE("R9C",'Mapa final'!#REF!),"")</f>
        <v>#REF!</v>
      </c>
      <c r="AG24" s="23" t="e">
        <f>IF(AND('Mapa final'!#REF!="Alta",'Mapa final'!#REF!="Mayor"),CONCATENATE("R9C",'Mapa final'!#REF!),"")</f>
        <v>#REF!</v>
      </c>
      <c r="AH24" s="24" t="e">
        <f>IF(AND('Mapa final'!#REF!="Alta",'Mapa final'!#REF!="Catastrófico"),CONCATENATE("R9C",'Mapa final'!#REF!),"")</f>
        <v>#REF!</v>
      </c>
      <c r="AI24" s="25" t="e">
        <f>IF(AND('Mapa final'!#REF!="Alta",'Mapa final'!#REF!="Catastrófico"),CONCATENATE("R9C",'Mapa final'!#REF!),"")</f>
        <v>#REF!</v>
      </c>
      <c r="AJ24" s="25" t="e">
        <f>IF(AND('Mapa final'!#REF!="Alta",'Mapa final'!#REF!="Catastrófico"),CONCATENATE("R9C",'Mapa final'!#REF!),"")</f>
        <v>#REF!</v>
      </c>
      <c r="AK24" s="25" t="e">
        <f>IF(AND('Mapa final'!#REF!="Alta",'Mapa final'!#REF!="Catastrófico"),CONCATENATE("R9C",'Mapa final'!#REF!),"")</f>
        <v>#REF!</v>
      </c>
      <c r="AL24" s="25" t="e">
        <f>IF(AND('Mapa final'!#REF!="Alta",'Mapa final'!#REF!="Catastrófico"),CONCATENATE("R9C",'Mapa final'!#REF!),"")</f>
        <v>#REF!</v>
      </c>
      <c r="AM24" s="26" t="e">
        <f>IF(AND('Mapa final'!#REF!="Alta",'Mapa final'!#REF!="Catastrófico"),CONCATENATE("R9C",'Mapa final'!#REF!),"")</f>
        <v>#REF!</v>
      </c>
      <c r="AN24" s="1"/>
      <c r="AO24" s="271"/>
      <c r="AP24" s="211"/>
      <c r="AQ24" s="211"/>
      <c r="AR24" s="211"/>
      <c r="AS24" s="211"/>
      <c r="AT24" s="272"/>
    </row>
    <row r="25" spans="2:46" ht="15.75" customHeight="1" x14ac:dyDescent="0.25">
      <c r="B25" s="288"/>
      <c r="C25" s="211"/>
      <c r="D25" s="212"/>
      <c r="E25" s="257"/>
      <c r="F25" s="281"/>
      <c r="G25" s="281"/>
      <c r="H25" s="281"/>
      <c r="I25" s="281"/>
      <c r="J25" s="39" t="e">
        <f>IF(AND('Mapa final'!#REF!="Alta",'Mapa final'!#REF!="Leve"),CONCATENATE("R10C",'Mapa final'!#REF!),"")</f>
        <v>#REF!</v>
      </c>
      <c r="K25" s="40" t="e">
        <f>IF(AND('Mapa final'!#REF!="Alta",'Mapa final'!#REF!="Leve"),CONCATENATE("R10C",'Mapa final'!#REF!),"")</f>
        <v>#REF!</v>
      </c>
      <c r="L25" s="40" t="e">
        <f>IF(AND('Mapa final'!#REF!="Alta",'Mapa final'!#REF!="Leve"),CONCATENATE("R10C",'Mapa final'!#REF!),"")</f>
        <v>#REF!</v>
      </c>
      <c r="M25" s="40" t="e">
        <f>IF(AND('Mapa final'!#REF!="Alta",'Mapa final'!#REF!="Leve"),CONCATENATE("R10C",'Mapa final'!#REF!),"")</f>
        <v>#REF!</v>
      </c>
      <c r="N25" s="40" t="e">
        <f>IF(AND('Mapa final'!#REF!="Alta",'Mapa final'!#REF!="Leve"),CONCATENATE("R10C",'Mapa final'!#REF!),"")</f>
        <v>#REF!</v>
      </c>
      <c r="O25" s="41" t="e">
        <f>IF(AND('Mapa final'!#REF!="Alta",'Mapa final'!#REF!="Leve"),CONCATENATE("R10C",'Mapa final'!#REF!),"")</f>
        <v>#REF!</v>
      </c>
      <c r="P25" s="39" t="e">
        <f>IF(AND('Mapa final'!#REF!="Alta",'Mapa final'!#REF!="Menor"),CONCATENATE("R10C",'Mapa final'!#REF!),"")</f>
        <v>#REF!</v>
      </c>
      <c r="Q25" s="40" t="e">
        <f>IF(AND('Mapa final'!#REF!="Alta",'Mapa final'!#REF!="Menor"),CONCATENATE("R10C",'Mapa final'!#REF!),"")</f>
        <v>#REF!</v>
      </c>
      <c r="R25" s="40" t="e">
        <f>IF(AND('Mapa final'!#REF!="Alta",'Mapa final'!#REF!="Menor"),CONCATENATE("R10C",'Mapa final'!#REF!),"")</f>
        <v>#REF!</v>
      </c>
      <c r="S25" s="40" t="e">
        <f>IF(AND('Mapa final'!#REF!="Alta",'Mapa final'!#REF!="Menor"),CONCATENATE("R10C",'Mapa final'!#REF!),"")</f>
        <v>#REF!</v>
      </c>
      <c r="T25" s="40" t="e">
        <f>IF(AND('Mapa final'!#REF!="Alta",'Mapa final'!#REF!="Menor"),CONCATENATE("R10C",'Mapa final'!#REF!),"")</f>
        <v>#REF!</v>
      </c>
      <c r="U25" s="41" t="e">
        <f>IF(AND('Mapa final'!#REF!="Alta",'Mapa final'!#REF!="Menor"),CONCATENATE("R10C",'Mapa final'!#REF!),"")</f>
        <v>#REF!</v>
      </c>
      <c r="V25" s="27" t="e">
        <f>IF(AND('Mapa final'!#REF!="Alta",'Mapa final'!#REF!="Moderado"),CONCATENATE("R10C",'Mapa final'!#REF!),"")</f>
        <v>#REF!</v>
      </c>
      <c r="W25" s="28" t="e">
        <f>IF(AND('Mapa final'!#REF!="Alta",'Mapa final'!#REF!="Moderado"),CONCATENATE("R10C",'Mapa final'!#REF!),"")</f>
        <v>#REF!</v>
      </c>
      <c r="X25" s="28" t="e">
        <f>IF(AND('Mapa final'!#REF!="Alta",'Mapa final'!#REF!="Moderado"),CONCATENATE("R10C",'Mapa final'!#REF!),"")</f>
        <v>#REF!</v>
      </c>
      <c r="Y25" s="28" t="e">
        <f>IF(AND('Mapa final'!#REF!="Alta",'Mapa final'!#REF!="Moderado"),CONCATENATE("R10C",'Mapa final'!#REF!),"")</f>
        <v>#REF!</v>
      </c>
      <c r="Z25" s="28" t="e">
        <f>IF(AND('Mapa final'!#REF!="Alta",'Mapa final'!#REF!="Moderado"),CONCATENATE("R10C",'Mapa final'!#REF!),"")</f>
        <v>#REF!</v>
      </c>
      <c r="AA25" s="29" t="e">
        <f>IF(AND('Mapa final'!#REF!="Alta",'Mapa final'!#REF!="Moderado"),CONCATENATE("R10C",'Mapa final'!#REF!),"")</f>
        <v>#REF!</v>
      </c>
      <c r="AB25" s="27" t="e">
        <f>IF(AND('Mapa final'!#REF!="Alta",'Mapa final'!#REF!="Mayor"),CONCATENATE("R10C",'Mapa final'!#REF!),"")</f>
        <v>#REF!</v>
      </c>
      <c r="AC25" s="28" t="e">
        <f>IF(AND('Mapa final'!#REF!="Alta",'Mapa final'!#REF!="Mayor"),CONCATENATE("R10C",'Mapa final'!#REF!),"")</f>
        <v>#REF!</v>
      </c>
      <c r="AD25" s="28" t="e">
        <f>IF(AND('Mapa final'!#REF!="Alta",'Mapa final'!#REF!="Mayor"),CONCATENATE("R10C",'Mapa final'!#REF!),"")</f>
        <v>#REF!</v>
      </c>
      <c r="AE25" s="28" t="e">
        <f>IF(AND('Mapa final'!#REF!="Alta",'Mapa final'!#REF!="Mayor"),CONCATENATE("R10C",'Mapa final'!#REF!),"")</f>
        <v>#REF!</v>
      </c>
      <c r="AF25" s="28" t="e">
        <f>IF(AND('Mapa final'!#REF!="Alta",'Mapa final'!#REF!="Mayor"),CONCATENATE("R10C",'Mapa final'!#REF!),"")</f>
        <v>#REF!</v>
      </c>
      <c r="AG25" s="29" t="e">
        <f>IF(AND('Mapa final'!#REF!="Alta",'Mapa final'!#REF!="Mayor"),CONCATENATE("R10C",'Mapa final'!#REF!),"")</f>
        <v>#REF!</v>
      </c>
      <c r="AH25" s="30" t="e">
        <f>IF(AND('Mapa final'!#REF!="Alta",'Mapa final'!#REF!="Catastrófico"),CONCATENATE("R10C",'Mapa final'!#REF!),"")</f>
        <v>#REF!</v>
      </c>
      <c r="AI25" s="31" t="e">
        <f>IF(AND('Mapa final'!#REF!="Alta",'Mapa final'!#REF!="Catastrófico"),CONCATENATE("R10C",'Mapa final'!#REF!),"")</f>
        <v>#REF!</v>
      </c>
      <c r="AJ25" s="31" t="e">
        <f>IF(AND('Mapa final'!#REF!="Alta",'Mapa final'!#REF!="Catastrófico"),CONCATENATE("R10C",'Mapa final'!#REF!),"")</f>
        <v>#REF!</v>
      </c>
      <c r="AK25" s="31" t="e">
        <f>IF(AND('Mapa final'!#REF!="Alta",'Mapa final'!#REF!="Catastrófico"),CONCATENATE("R10C",'Mapa final'!#REF!),"")</f>
        <v>#REF!</v>
      </c>
      <c r="AL25" s="31" t="e">
        <f>IF(AND('Mapa final'!#REF!="Alta",'Mapa final'!#REF!="Catastrófico"),CONCATENATE("R10C",'Mapa final'!#REF!),"")</f>
        <v>#REF!</v>
      </c>
      <c r="AM25" s="32" t="e">
        <f>IF(AND('Mapa final'!#REF!="Alta",'Mapa final'!#REF!="Catastrófico"),CONCATENATE("R10C",'Mapa final'!#REF!),"")</f>
        <v>#REF!</v>
      </c>
      <c r="AN25" s="1"/>
      <c r="AO25" s="273"/>
      <c r="AP25" s="274"/>
      <c r="AQ25" s="274"/>
      <c r="AR25" s="274"/>
      <c r="AS25" s="274"/>
      <c r="AT25" s="275"/>
    </row>
    <row r="26" spans="2:46" ht="15" customHeight="1" x14ac:dyDescent="0.25">
      <c r="B26" s="288"/>
      <c r="C26" s="211"/>
      <c r="D26" s="212"/>
      <c r="E26" s="296" t="s">
        <v>99</v>
      </c>
      <c r="F26" s="280"/>
      <c r="G26" s="280"/>
      <c r="H26" s="280"/>
      <c r="I26" s="262"/>
      <c r="J26" s="33" t="str">
        <f>IF(AND('Mapa final'!$Y$16="Media",'Mapa final'!$AA$16="Leve"),CONCATENATE("R1C",'Mapa final'!$O$16),"")</f>
        <v/>
      </c>
      <c r="K26" s="34" t="str">
        <f>IF(AND('Mapa final'!$Y$17="Media",'Mapa final'!$AA$17="Leve"),CONCATENATE("R1C",'Mapa final'!$O$17),"")</f>
        <v/>
      </c>
      <c r="L26" s="34" t="str">
        <f>IF(AND('Mapa final'!$Y$18="Media",'Mapa final'!$AA$18="Leve"),CONCATENATE("R1C",'Mapa final'!$O$18),"")</f>
        <v/>
      </c>
      <c r="M26" s="34" t="e">
        <f>IF(AND('Mapa final'!#REF!="Media",'Mapa final'!#REF!="Leve"),CONCATENATE("R1C",'Mapa final'!#REF!),"")</f>
        <v>#REF!</v>
      </c>
      <c r="N26" s="34" t="e">
        <f>IF(AND('Mapa final'!#REF!="Media",'Mapa final'!#REF!="Leve"),CONCATENATE("R1C",'Mapa final'!#REF!),"")</f>
        <v>#REF!</v>
      </c>
      <c r="O26" s="35" t="e">
        <f>IF(AND('Mapa final'!#REF!="Media",'Mapa final'!#REF!="Leve"),CONCATENATE("R1C",'Mapa final'!#REF!),"")</f>
        <v>#REF!</v>
      </c>
      <c r="P26" s="33" t="str">
        <f>IF(AND('Mapa final'!$Y$16="Media",'Mapa final'!$AA$16="Menor"),CONCATENATE("R1C",'Mapa final'!$O$16),"")</f>
        <v/>
      </c>
      <c r="Q26" s="34" t="str">
        <f>IF(AND('Mapa final'!$Y$17="Media",'Mapa final'!$AA$17="Menor"),CONCATENATE("R1C",'Mapa final'!$O$17),"")</f>
        <v/>
      </c>
      <c r="R26" s="34" t="str">
        <f>IF(AND('Mapa final'!$Y$18="Media",'Mapa final'!$AA$18="Menor"),CONCATENATE("R1C",'Mapa final'!$O$18),"")</f>
        <v/>
      </c>
      <c r="S26" s="34" t="e">
        <f>IF(AND('Mapa final'!#REF!="Media",'Mapa final'!#REF!="Menor"),CONCATENATE("R1C",'Mapa final'!#REF!),"")</f>
        <v>#REF!</v>
      </c>
      <c r="T26" s="34" t="e">
        <f>IF(AND('Mapa final'!#REF!="Media",'Mapa final'!#REF!="Menor"),CONCATENATE("R1C",'Mapa final'!#REF!),"")</f>
        <v>#REF!</v>
      </c>
      <c r="U26" s="35" t="e">
        <f>IF(AND('Mapa final'!#REF!="Media",'Mapa final'!#REF!="Menor"),CONCATENATE("R1C",'Mapa final'!#REF!),"")</f>
        <v>#REF!</v>
      </c>
      <c r="V26" s="33" t="str">
        <f>IF(AND('Mapa final'!$Y$16="Media",'Mapa final'!$AA$16="Moderado"),CONCATENATE("R1C",'Mapa final'!$O$16),"")</f>
        <v/>
      </c>
      <c r="W26" s="34" t="str">
        <f>IF(AND('Mapa final'!$Y$17="Media",'Mapa final'!$AA$17="Moderado"),CONCATENATE("R1C",'Mapa final'!$O$17),"")</f>
        <v/>
      </c>
      <c r="X26" s="34" t="str">
        <f>IF(AND('Mapa final'!$Y$18="Media",'Mapa final'!$AA$18="Moderado"),CONCATENATE("R1C",'Mapa final'!$O$18),"")</f>
        <v/>
      </c>
      <c r="Y26" s="34" t="e">
        <f>IF(AND('Mapa final'!#REF!="Media",'Mapa final'!#REF!="Moderado"),CONCATENATE("R1C",'Mapa final'!#REF!),"")</f>
        <v>#REF!</v>
      </c>
      <c r="Z26" s="34" t="e">
        <f>IF(AND('Mapa final'!#REF!="Media",'Mapa final'!#REF!="Moderado"),CONCATENATE("R1C",'Mapa final'!#REF!),"")</f>
        <v>#REF!</v>
      </c>
      <c r="AA26" s="35" t="e">
        <f>IF(AND('Mapa final'!#REF!="Media",'Mapa final'!#REF!="Moderado"),CONCATENATE("R1C",'Mapa final'!#REF!),"")</f>
        <v>#REF!</v>
      </c>
      <c r="AB26" s="15" t="str">
        <f>IF(AND('Mapa final'!$Y$16="Media",'Mapa final'!$AA$16="Mayor"),CONCATENATE("R1C",'Mapa final'!$O$16),"")</f>
        <v/>
      </c>
      <c r="AC26" s="16" t="str">
        <f>IF(AND('Mapa final'!$Y$17="Media",'Mapa final'!$AA$17="Mayor"),CONCATENATE("R1C",'Mapa final'!$O$17),"")</f>
        <v/>
      </c>
      <c r="AD26" s="16" t="str">
        <f>IF(AND('Mapa final'!$Y$18="Media",'Mapa final'!$AA$18="Mayor"),CONCATENATE("R1C",'Mapa final'!$O$18),"")</f>
        <v/>
      </c>
      <c r="AE26" s="16" t="e">
        <f>IF(AND('Mapa final'!#REF!="Media",'Mapa final'!#REF!="Mayor"),CONCATENATE("R1C",'Mapa final'!#REF!),"")</f>
        <v>#REF!</v>
      </c>
      <c r="AF26" s="16" t="e">
        <f>IF(AND('Mapa final'!#REF!="Media",'Mapa final'!#REF!="Mayor"),CONCATENATE("R1C",'Mapa final'!#REF!),"")</f>
        <v>#REF!</v>
      </c>
      <c r="AG26" s="17" t="e">
        <f>IF(AND('Mapa final'!#REF!="Media",'Mapa final'!#REF!="Mayor"),CONCATENATE("R1C",'Mapa final'!#REF!),"")</f>
        <v>#REF!</v>
      </c>
      <c r="AH26" s="18" t="str">
        <f>IF(AND('Mapa final'!$Y$16="Media",'Mapa final'!$AA$16="Catastrófico"),CONCATENATE("R1C",'Mapa final'!$O$16),"")</f>
        <v/>
      </c>
      <c r="AI26" s="19" t="str">
        <f>IF(AND('Mapa final'!$Y$17="Media",'Mapa final'!$AA$17="Catastrófico"),CONCATENATE("R1C",'Mapa final'!$O$17),"")</f>
        <v/>
      </c>
      <c r="AJ26" s="19" t="str">
        <f>IF(AND('Mapa final'!$Y$18="Media",'Mapa final'!$AA$18="Catastrófico"),CONCATENATE("R1C",'Mapa final'!$O$18),"")</f>
        <v/>
      </c>
      <c r="AK26" s="19" t="e">
        <f>IF(AND('Mapa final'!#REF!="Media",'Mapa final'!#REF!="Catastrófico"),CONCATENATE("R1C",'Mapa final'!#REF!),"")</f>
        <v>#REF!</v>
      </c>
      <c r="AL26" s="19" t="e">
        <f>IF(AND('Mapa final'!#REF!="Media",'Mapa final'!#REF!="Catastrófico"),CONCATENATE("R1C",'Mapa final'!#REF!),"")</f>
        <v>#REF!</v>
      </c>
      <c r="AM26" s="20" t="e">
        <f>IF(AND('Mapa final'!#REF!="Media",'Mapa final'!#REF!="Catastrófico"),CONCATENATE("R1C",'Mapa final'!#REF!),"")</f>
        <v>#REF!</v>
      </c>
      <c r="AN26" s="1"/>
      <c r="AO26" s="293" t="s">
        <v>100</v>
      </c>
      <c r="AP26" s="269"/>
      <c r="AQ26" s="269"/>
      <c r="AR26" s="269"/>
      <c r="AS26" s="269"/>
      <c r="AT26" s="270"/>
    </row>
    <row r="27" spans="2:46" ht="15" customHeight="1" x14ac:dyDescent="0.25">
      <c r="B27" s="288"/>
      <c r="C27" s="211"/>
      <c r="D27" s="212"/>
      <c r="E27" s="223"/>
      <c r="F27" s="211"/>
      <c r="G27" s="211"/>
      <c r="H27" s="211"/>
      <c r="I27" s="212"/>
      <c r="J27" s="36" t="str">
        <f>IF(AND('Mapa final'!$Y$21="Media",'Mapa final'!$AA$21="Leve"),CONCATENATE("R2C",'Mapa final'!$O$21),"")</f>
        <v/>
      </c>
      <c r="K27" s="37" t="e">
        <f>IF(AND('Mapa final'!#REF!="Media",'Mapa final'!#REF!="Leve"),CONCATENATE("R2C",'Mapa final'!#REF!),"")</f>
        <v>#REF!</v>
      </c>
      <c r="L27" s="37" t="e">
        <f>IF(AND('Mapa final'!#REF!="Media",'Mapa final'!#REF!="Leve"),CONCATENATE("R2C",'Mapa final'!#REF!),"")</f>
        <v>#REF!</v>
      </c>
      <c r="M27" s="37" t="e">
        <f>IF(AND('Mapa final'!#REF!="Media",'Mapa final'!#REF!="Leve"),CONCATENATE("R2C",'Mapa final'!#REF!),"")</f>
        <v>#REF!</v>
      </c>
      <c r="N27" s="37" t="str">
        <f>IF(AND('Mapa final'!$Y$22="Media",'Mapa final'!$AA$22="Leve"),CONCATENATE("R2C",'Mapa final'!$O$22),"")</f>
        <v/>
      </c>
      <c r="O27" s="38" t="str">
        <f>IF(AND('Mapa final'!$Y$23="Media",'Mapa final'!$AA$23="Leve"),CONCATENATE("R2C",'Mapa final'!$O$23),"")</f>
        <v/>
      </c>
      <c r="P27" s="36" t="str">
        <f>IF(AND('Mapa final'!$Y$21="Media",'Mapa final'!$AA$21="Menor"),CONCATENATE("R2C",'Mapa final'!$O$21),"")</f>
        <v/>
      </c>
      <c r="Q27" s="37" t="e">
        <f>IF(AND('Mapa final'!#REF!="Media",'Mapa final'!#REF!="Menor"),CONCATENATE("R2C",'Mapa final'!#REF!),"")</f>
        <v>#REF!</v>
      </c>
      <c r="R27" s="37" t="e">
        <f>IF(AND('Mapa final'!#REF!="Media",'Mapa final'!#REF!="Menor"),CONCATENATE("R2C",'Mapa final'!#REF!),"")</f>
        <v>#REF!</v>
      </c>
      <c r="S27" s="37" t="e">
        <f>IF(AND('Mapa final'!#REF!="Media",'Mapa final'!#REF!="Menor"),CONCATENATE("R2C",'Mapa final'!#REF!),"")</f>
        <v>#REF!</v>
      </c>
      <c r="T27" s="37" t="str">
        <f>IF(AND('Mapa final'!$Y$22="Media",'Mapa final'!$AA$22="Menor"),CONCATENATE("R2C",'Mapa final'!$O$22),"")</f>
        <v/>
      </c>
      <c r="U27" s="38" t="str">
        <f>IF(AND('Mapa final'!$Y$23="Media",'Mapa final'!$AA$23="Menor"),CONCATENATE("R2C",'Mapa final'!$O$23),"")</f>
        <v/>
      </c>
      <c r="V27" s="36" t="str">
        <f>IF(AND('Mapa final'!$Y$21="Media",'Mapa final'!$AA$21="Moderado"),CONCATENATE("R2C",'Mapa final'!$O$21),"")</f>
        <v/>
      </c>
      <c r="W27" s="37" t="e">
        <f>IF(AND('Mapa final'!#REF!="Media",'Mapa final'!#REF!="Moderado"),CONCATENATE("R2C",'Mapa final'!#REF!),"")</f>
        <v>#REF!</v>
      </c>
      <c r="X27" s="37" t="e">
        <f>IF(AND('Mapa final'!#REF!="Media",'Mapa final'!#REF!="Moderado"),CONCATENATE("R2C",'Mapa final'!#REF!),"")</f>
        <v>#REF!</v>
      </c>
      <c r="Y27" s="37" t="e">
        <f>IF(AND('Mapa final'!#REF!="Media",'Mapa final'!#REF!="Moderado"),CONCATENATE("R2C",'Mapa final'!#REF!),"")</f>
        <v>#REF!</v>
      </c>
      <c r="Z27" s="37" t="str">
        <f>IF(AND('Mapa final'!$Y$22="Media",'Mapa final'!$AA$22="Moderado"),CONCATENATE("R2C",'Mapa final'!$O$22),"")</f>
        <v/>
      </c>
      <c r="AA27" s="38" t="str">
        <f>IF(AND('Mapa final'!$Y$23="Media",'Mapa final'!$AA$23="Moderado"),CONCATENATE("R2C",'Mapa final'!$O$23),"")</f>
        <v/>
      </c>
      <c r="AB27" s="21" t="str">
        <f>IF(AND('Mapa final'!$Y$21="Media",'Mapa final'!$AA$21="Mayor"),CONCATENATE("R2C",'Mapa final'!$O$21),"")</f>
        <v/>
      </c>
      <c r="AC27" s="22" t="e">
        <f>IF(AND('Mapa final'!#REF!="Media",'Mapa final'!#REF!="Mayor"),CONCATENATE("R2C",'Mapa final'!#REF!),"")</f>
        <v>#REF!</v>
      </c>
      <c r="AD27" s="22" t="e">
        <f>IF(AND('Mapa final'!#REF!="Media",'Mapa final'!#REF!="Mayor"),CONCATENATE("R2C",'Mapa final'!#REF!),"")</f>
        <v>#REF!</v>
      </c>
      <c r="AE27" s="22" t="e">
        <f>IF(AND('Mapa final'!#REF!="Media",'Mapa final'!#REF!="Mayor"),CONCATENATE("R2C",'Mapa final'!#REF!),"")</f>
        <v>#REF!</v>
      </c>
      <c r="AF27" s="22" t="str">
        <f>IF(AND('Mapa final'!$Y$22="Media",'Mapa final'!$AA$22="Mayor"),CONCATENATE("R2C",'Mapa final'!$O$22),"")</f>
        <v/>
      </c>
      <c r="AG27" s="23" t="str">
        <f>IF(AND('Mapa final'!$Y$23="Media",'Mapa final'!$AA$23="Mayor"),CONCATENATE("R2C",'Mapa final'!$O$23),"")</f>
        <v/>
      </c>
      <c r="AH27" s="24" t="str">
        <f>IF(AND('Mapa final'!$Y$21="Media",'Mapa final'!$AA$21="Catastrófico"),CONCATENATE("R2C",'Mapa final'!$O$21),"")</f>
        <v/>
      </c>
      <c r="AI27" s="25" t="e">
        <f>IF(AND('Mapa final'!#REF!="Media",'Mapa final'!#REF!="Catastrófico"),CONCATENATE("R2C",'Mapa final'!#REF!),"")</f>
        <v>#REF!</v>
      </c>
      <c r="AJ27" s="25" t="e">
        <f>IF(AND('Mapa final'!#REF!="Media",'Mapa final'!#REF!="Catastrófico"),CONCATENATE("R2C",'Mapa final'!#REF!),"")</f>
        <v>#REF!</v>
      </c>
      <c r="AK27" s="25" t="e">
        <f>IF(AND('Mapa final'!#REF!="Media",'Mapa final'!#REF!="Catastrófico"),CONCATENATE("R2C",'Mapa final'!#REF!),"")</f>
        <v>#REF!</v>
      </c>
      <c r="AL27" s="25" t="str">
        <f>IF(AND('Mapa final'!$Y$22="Media",'Mapa final'!$AA$22="Catastrófico"),CONCATENATE("R2C",'Mapa final'!$O$22),"")</f>
        <v/>
      </c>
      <c r="AM27" s="26" t="str">
        <f>IF(AND('Mapa final'!$Y$23="Media",'Mapa final'!$AA$23="Catastrófico"),CONCATENATE("R2C",'Mapa final'!$O$23),"")</f>
        <v/>
      </c>
      <c r="AN27" s="1"/>
      <c r="AO27" s="271"/>
      <c r="AP27" s="211"/>
      <c r="AQ27" s="211"/>
      <c r="AR27" s="211"/>
      <c r="AS27" s="211"/>
      <c r="AT27" s="272"/>
    </row>
    <row r="28" spans="2:46" ht="15" customHeight="1" x14ac:dyDescent="0.25">
      <c r="B28" s="288"/>
      <c r="C28" s="211"/>
      <c r="D28" s="212"/>
      <c r="E28" s="223"/>
      <c r="F28" s="211"/>
      <c r="G28" s="211"/>
      <c r="H28" s="211"/>
      <c r="I28" s="212"/>
      <c r="J28" s="36" t="str">
        <f>IF(AND('Mapa final'!$Y$26="Media",'Mapa final'!$AA$26="Leve"),CONCATENATE("R3C",'Mapa final'!$O$26),"")</f>
        <v/>
      </c>
      <c r="K28" s="37" t="str">
        <f>IF(AND('Mapa final'!$Y$27="Media",'Mapa final'!$AA$27="Leve"),CONCATENATE("R3C",'Mapa final'!$O$27),"")</f>
        <v/>
      </c>
      <c r="L28" s="37" t="str">
        <f>IF(AND('Mapa final'!$Y$28="Media",'Mapa final'!$AA$28="Leve"),CONCATENATE("R3C",'Mapa final'!$O$28),"")</f>
        <v/>
      </c>
      <c r="M28" s="37" t="e">
        <f>IF(AND('Mapa final'!#REF!="Media",'Mapa final'!#REF!="Leve"),CONCATENATE("R3C",'Mapa final'!#REF!),"")</f>
        <v>#REF!</v>
      </c>
      <c r="N28" s="37" t="e">
        <f>IF(AND('Mapa final'!#REF!="Media",'Mapa final'!#REF!="Leve"),CONCATENATE("R3C",'Mapa final'!#REF!),"")</f>
        <v>#REF!</v>
      </c>
      <c r="O28" s="38" t="e">
        <f>IF(AND('Mapa final'!#REF!="Media",'Mapa final'!#REF!="Leve"),CONCATENATE("R3C",'Mapa final'!#REF!),"")</f>
        <v>#REF!</v>
      </c>
      <c r="P28" s="36" t="str">
        <f>IF(AND('Mapa final'!$Y$26="Media",'Mapa final'!$AA$26="Menor"),CONCATENATE("R3C",'Mapa final'!$O$26),"")</f>
        <v/>
      </c>
      <c r="Q28" s="37" t="str">
        <f>IF(AND('Mapa final'!$Y$27="Media",'Mapa final'!$AA$27="Menor"),CONCATENATE("R3C",'Mapa final'!$O$27),"")</f>
        <v/>
      </c>
      <c r="R28" s="37" t="str">
        <f>IF(AND('Mapa final'!$Y$28="Media",'Mapa final'!$AA$28="Menor"),CONCATENATE("R3C",'Mapa final'!$O$28),"")</f>
        <v/>
      </c>
      <c r="S28" s="37" t="e">
        <f>IF(AND('Mapa final'!#REF!="Media",'Mapa final'!#REF!="Menor"),CONCATENATE("R3C",'Mapa final'!#REF!),"")</f>
        <v>#REF!</v>
      </c>
      <c r="T28" s="37" t="e">
        <f>IF(AND('Mapa final'!#REF!="Media",'Mapa final'!#REF!="Menor"),CONCATENATE("R3C",'Mapa final'!#REF!),"")</f>
        <v>#REF!</v>
      </c>
      <c r="U28" s="38" t="e">
        <f>IF(AND('Mapa final'!#REF!="Media",'Mapa final'!#REF!="Menor"),CONCATENATE("R3C",'Mapa final'!#REF!),"")</f>
        <v>#REF!</v>
      </c>
      <c r="V28" s="36" t="str">
        <f>IF(AND('Mapa final'!$Y$26="Media",'Mapa final'!$AA$26="Moderado"),CONCATENATE("R3C",'Mapa final'!$O$26),"")</f>
        <v/>
      </c>
      <c r="W28" s="37" t="str">
        <f>IF(AND('Mapa final'!$Y$27="Media",'Mapa final'!$AA$27="Moderado"),CONCATENATE("R3C",'Mapa final'!$O$27),"")</f>
        <v/>
      </c>
      <c r="X28" s="37" t="str">
        <f>IF(AND('Mapa final'!$Y$28="Media",'Mapa final'!$AA$28="Moderado"),CONCATENATE("R3C",'Mapa final'!$O$28),"")</f>
        <v/>
      </c>
      <c r="Y28" s="37" t="e">
        <f>IF(AND('Mapa final'!#REF!="Media",'Mapa final'!#REF!="Moderado"),CONCATENATE("R3C",'Mapa final'!#REF!),"")</f>
        <v>#REF!</v>
      </c>
      <c r="Z28" s="37" t="e">
        <f>IF(AND('Mapa final'!#REF!="Media",'Mapa final'!#REF!="Moderado"),CONCATENATE("R3C",'Mapa final'!#REF!),"")</f>
        <v>#REF!</v>
      </c>
      <c r="AA28" s="38" t="e">
        <f>IF(AND('Mapa final'!#REF!="Media",'Mapa final'!#REF!="Moderado"),CONCATENATE("R3C",'Mapa final'!#REF!),"")</f>
        <v>#REF!</v>
      </c>
      <c r="AB28" s="21" t="str">
        <f>IF(AND('Mapa final'!$Y$26="Media",'Mapa final'!$AA$26="Mayor"),CONCATENATE("R3C",'Mapa final'!$O$26),"")</f>
        <v/>
      </c>
      <c r="AC28" s="22" t="str">
        <f>IF(AND('Mapa final'!$Y$27="Media",'Mapa final'!$AA$27="Mayor"),CONCATENATE("R3C",'Mapa final'!$O$27),"")</f>
        <v/>
      </c>
      <c r="AD28" s="22" t="str">
        <f>IF(AND('Mapa final'!$Y$28="Media",'Mapa final'!$AA$28="Mayor"),CONCATENATE("R3C",'Mapa final'!$O$28),"")</f>
        <v/>
      </c>
      <c r="AE28" s="22" t="e">
        <f>IF(AND('Mapa final'!#REF!="Media",'Mapa final'!#REF!="Mayor"),CONCATENATE("R3C",'Mapa final'!#REF!),"")</f>
        <v>#REF!</v>
      </c>
      <c r="AF28" s="22" t="e">
        <f>IF(AND('Mapa final'!#REF!="Media",'Mapa final'!#REF!="Mayor"),CONCATENATE("R3C",'Mapa final'!#REF!),"")</f>
        <v>#REF!</v>
      </c>
      <c r="AG28" s="23" t="e">
        <f>IF(AND('Mapa final'!#REF!="Media",'Mapa final'!#REF!="Mayor"),CONCATENATE("R3C",'Mapa final'!#REF!),"")</f>
        <v>#REF!</v>
      </c>
      <c r="AH28" s="24" t="str">
        <f>IF(AND('Mapa final'!$Y$26="Media",'Mapa final'!$AA$26="Catastrófico"),CONCATENATE("R3C",'Mapa final'!$O$26),"")</f>
        <v/>
      </c>
      <c r="AI28" s="25" t="str">
        <f>IF(AND('Mapa final'!$Y$27="Media",'Mapa final'!$AA$27="Catastrófico"),CONCATENATE("R3C",'Mapa final'!$O$27),"")</f>
        <v/>
      </c>
      <c r="AJ28" s="25" t="str">
        <f>IF(AND('Mapa final'!$Y$28="Media",'Mapa final'!$AA$28="Catastrófico"),CONCATENATE("R3C",'Mapa final'!$O$28),"")</f>
        <v/>
      </c>
      <c r="AK28" s="25" t="e">
        <f>IF(AND('Mapa final'!#REF!="Media",'Mapa final'!#REF!="Catastrófico"),CONCATENATE("R3C",'Mapa final'!#REF!),"")</f>
        <v>#REF!</v>
      </c>
      <c r="AL28" s="25" t="e">
        <f>IF(AND('Mapa final'!#REF!="Media",'Mapa final'!#REF!="Catastrófico"),CONCATENATE("R3C",'Mapa final'!#REF!),"")</f>
        <v>#REF!</v>
      </c>
      <c r="AM28" s="26" t="e">
        <f>IF(AND('Mapa final'!#REF!="Media",'Mapa final'!#REF!="Catastrófico"),CONCATENATE("R3C",'Mapa final'!#REF!),"")</f>
        <v>#REF!</v>
      </c>
      <c r="AN28" s="1"/>
      <c r="AO28" s="271"/>
      <c r="AP28" s="211"/>
      <c r="AQ28" s="211"/>
      <c r="AR28" s="211"/>
      <c r="AS28" s="211"/>
      <c r="AT28" s="272"/>
    </row>
    <row r="29" spans="2:46" ht="15" customHeight="1" x14ac:dyDescent="0.25">
      <c r="B29" s="288"/>
      <c r="C29" s="211"/>
      <c r="D29" s="212"/>
      <c r="E29" s="223"/>
      <c r="F29" s="211"/>
      <c r="G29" s="211"/>
      <c r="H29" s="211"/>
      <c r="I29" s="212"/>
      <c r="J29" s="36" t="str">
        <f>IF(AND('Mapa final'!$Y$31="Media",'Mapa final'!$AA$31="Leve"),CONCATENATE("R4C",'Mapa final'!$O$31),"")</f>
        <v/>
      </c>
      <c r="K29" s="37" t="str">
        <f>IF(AND('Mapa final'!$Y$32="Media",'Mapa final'!$AA$32="Leve"),CONCATENATE("R4C",'Mapa final'!$O$32),"")</f>
        <v/>
      </c>
      <c r="L29" s="37" t="e">
        <f>IF(AND('Mapa final'!#REF!="Media",'Mapa final'!#REF!="Leve"),CONCATENATE("R4C",'Mapa final'!#REF!),"")</f>
        <v>#REF!</v>
      </c>
      <c r="M29" s="37" t="str">
        <f>IF(AND('Mapa final'!$Y$33="Media",'Mapa final'!$AA$33="Leve"),CONCATENATE("R4C",'Mapa final'!$O$33),"")</f>
        <v/>
      </c>
      <c r="N29" s="37" t="e">
        <f>IF(AND('Mapa final'!#REF!="Media",'Mapa final'!#REF!="Leve"),CONCATENATE("R4C",'Mapa final'!#REF!),"")</f>
        <v>#REF!</v>
      </c>
      <c r="O29" s="38" t="e">
        <f>IF(AND('Mapa final'!#REF!="Media",'Mapa final'!#REF!="Leve"),CONCATENATE("R4C",'Mapa final'!#REF!),"")</f>
        <v>#REF!</v>
      </c>
      <c r="P29" s="36" t="str">
        <f>IF(AND('Mapa final'!$Y$31="Media",'Mapa final'!$AA$31="Menor"),CONCATENATE("R4C",'Mapa final'!$O$31),"")</f>
        <v/>
      </c>
      <c r="Q29" s="37" t="str">
        <f>IF(AND('Mapa final'!$Y$32="Media",'Mapa final'!$AA$32="Menor"),CONCATENATE("R4C",'Mapa final'!$O$32),"")</f>
        <v/>
      </c>
      <c r="R29" s="37" t="e">
        <f>IF(AND('Mapa final'!#REF!="Media",'Mapa final'!#REF!="Menor"),CONCATENATE("R4C",'Mapa final'!#REF!),"")</f>
        <v>#REF!</v>
      </c>
      <c r="S29" s="37" t="str">
        <f>IF(AND('Mapa final'!$Y$33="Media",'Mapa final'!$AA$33="Menor"),CONCATENATE("R4C",'Mapa final'!$O$33),"")</f>
        <v/>
      </c>
      <c r="T29" s="37" t="e">
        <f>IF(AND('Mapa final'!#REF!="Media",'Mapa final'!#REF!="Menor"),CONCATENATE("R4C",'Mapa final'!#REF!),"")</f>
        <v>#REF!</v>
      </c>
      <c r="U29" s="38" t="e">
        <f>IF(AND('Mapa final'!#REF!="Media",'Mapa final'!#REF!="Menor"),CONCATENATE("R4C",'Mapa final'!#REF!),"")</f>
        <v>#REF!</v>
      </c>
      <c r="V29" s="36" t="str">
        <f>IF(AND('Mapa final'!$Y$31="Media",'Mapa final'!$AA$31="Moderado"),CONCATENATE("R4C",'Mapa final'!$O$31),"")</f>
        <v/>
      </c>
      <c r="W29" s="37" t="str">
        <f>IF(AND('Mapa final'!$Y$32="Media",'Mapa final'!$AA$32="Moderado"),CONCATENATE("R4C",'Mapa final'!$O$32),"")</f>
        <v/>
      </c>
      <c r="X29" s="37" t="e">
        <f>IF(AND('Mapa final'!#REF!="Media",'Mapa final'!#REF!="Moderado"),CONCATENATE("R4C",'Mapa final'!#REF!),"")</f>
        <v>#REF!</v>
      </c>
      <c r="Y29" s="37" t="str">
        <f>IF(AND('Mapa final'!$Y$33="Media",'Mapa final'!$AA$33="Moderado"),CONCATENATE("R4C",'Mapa final'!$O$33),"")</f>
        <v/>
      </c>
      <c r="Z29" s="37" t="e">
        <f>IF(AND('Mapa final'!#REF!="Media",'Mapa final'!#REF!="Moderado"),CONCATENATE("R4C",'Mapa final'!#REF!),"")</f>
        <v>#REF!</v>
      </c>
      <c r="AA29" s="38" t="e">
        <f>IF(AND('Mapa final'!#REF!="Media",'Mapa final'!#REF!="Moderado"),CONCATENATE("R4C",'Mapa final'!#REF!),"")</f>
        <v>#REF!</v>
      </c>
      <c r="AB29" s="21" t="str">
        <f>IF(AND('Mapa final'!$Y$31="Media",'Mapa final'!$AA$31="Mayor"),CONCATENATE("R4C",'Mapa final'!$O$31),"")</f>
        <v/>
      </c>
      <c r="AC29" s="22" t="str">
        <f>IF(AND('Mapa final'!$Y$32="Media",'Mapa final'!$AA$32="Mayor"),CONCATENATE("R4C",'Mapa final'!$O$32),"")</f>
        <v/>
      </c>
      <c r="AD29" s="22" t="e">
        <f>IF(AND('Mapa final'!#REF!="Media",'Mapa final'!#REF!="Mayor"),CONCATENATE("R4C",'Mapa final'!#REF!),"")</f>
        <v>#REF!</v>
      </c>
      <c r="AE29" s="22" t="str">
        <f>IF(AND('Mapa final'!$Y$33="Media",'Mapa final'!$AA$33="Mayor"),CONCATENATE("R4C",'Mapa final'!$O$33),"")</f>
        <v/>
      </c>
      <c r="AF29" s="22" t="e">
        <f>IF(AND('Mapa final'!#REF!="Media",'Mapa final'!#REF!="Mayor"),CONCATENATE("R4C",'Mapa final'!#REF!),"")</f>
        <v>#REF!</v>
      </c>
      <c r="AG29" s="23" t="e">
        <f>IF(AND('Mapa final'!#REF!="Media",'Mapa final'!#REF!="Mayor"),CONCATENATE("R4C",'Mapa final'!#REF!),"")</f>
        <v>#REF!</v>
      </c>
      <c r="AH29" s="24" t="str">
        <f>IF(AND('Mapa final'!$Y$31="Media",'Mapa final'!$AA$31="Catastrófico"),CONCATENATE("R4C",'Mapa final'!$O$31),"")</f>
        <v/>
      </c>
      <c r="AI29" s="25" t="str">
        <f>IF(AND('Mapa final'!$Y$32="Media",'Mapa final'!$AA$32="Catastrófico"),CONCATENATE("R4C",'Mapa final'!$O$32),"")</f>
        <v/>
      </c>
      <c r="AJ29" s="25" t="e">
        <f>IF(AND('Mapa final'!#REF!="Media",'Mapa final'!#REF!="Catastrófico"),CONCATENATE("R4C",'Mapa final'!#REF!),"")</f>
        <v>#REF!</v>
      </c>
      <c r="AK29" s="25" t="str">
        <f>IF(AND('Mapa final'!$Y$33="Media",'Mapa final'!$AA$33="Catastrófico"),CONCATENATE("R4C",'Mapa final'!$O$33),"")</f>
        <v/>
      </c>
      <c r="AL29" s="25" t="e">
        <f>IF(AND('Mapa final'!#REF!="Media",'Mapa final'!#REF!="Catastrófico"),CONCATENATE("R4C",'Mapa final'!#REF!),"")</f>
        <v>#REF!</v>
      </c>
      <c r="AM29" s="26" t="e">
        <f>IF(AND('Mapa final'!#REF!="Media",'Mapa final'!#REF!="Catastrófico"),CONCATENATE("R4C",'Mapa final'!#REF!),"")</f>
        <v>#REF!</v>
      </c>
      <c r="AN29" s="1"/>
      <c r="AO29" s="271"/>
      <c r="AP29" s="211"/>
      <c r="AQ29" s="211"/>
      <c r="AR29" s="211"/>
      <c r="AS29" s="211"/>
      <c r="AT29" s="272"/>
    </row>
    <row r="30" spans="2:46" ht="15" customHeight="1" x14ac:dyDescent="0.25">
      <c r="B30" s="288"/>
      <c r="C30" s="211"/>
      <c r="D30" s="212"/>
      <c r="E30" s="223"/>
      <c r="F30" s="211"/>
      <c r="G30" s="211"/>
      <c r="H30" s="211"/>
      <c r="I30" s="212"/>
      <c r="J30" s="36" t="str">
        <f>IF(AND('Mapa final'!$Y$36="Media",'Mapa final'!$AA$36="Leve"),CONCATENATE("R5C",'Mapa final'!$O$36),"")</f>
        <v/>
      </c>
      <c r="K30" s="37" t="str">
        <f>IF(AND('Mapa final'!$Y$37="Media",'Mapa final'!$AA$37="Leve"),CONCATENATE("R5C",'Mapa final'!$O$37),"")</f>
        <v/>
      </c>
      <c r="L30" s="37" t="str">
        <f>IF(AND('Mapa final'!$Y$38="Media",'Mapa final'!$AA$38="Leve"),CONCATENATE("R5C",'Mapa final'!$O$38),"")</f>
        <v/>
      </c>
      <c r="M30" s="37" t="e">
        <f>IF(AND('Mapa final'!#REF!="Media",'Mapa final'!#REF!="Leve"),CONCATENATE("R5C",'Mapa final'!#REF!),"")</f>
        <v>#REF!</v>
      </c>
      <c r="N30" s="37" t="e">
        <f>IF(AND('Mapa final'!#REF!="Media",'Mapa final'!#REF!="Leve"),CONCATENATE("R5C",'Mapa final'!#REF!),"")</f>
        <v>#REF!</v>
      </c>
      <c r="O30" s="38" t="e">
        <f>IF(AND('Mapa final'!#REF!="Media",'Mapa final'!#REF!="Leve"),CONCATENATE("R5C",'Mapa final'!#REF!),"")</f>
        <v>#REF!</v>
      </c>
      <c r="P30" s="36" t="str">
        <f>IF(AND('Mapa final'!$Y$36="Media",'Mapa final'!$AA$36="Menor"),CONCATENATE("R5C",'Mapa final'!$O$36),"")</f>
        <v/>
      </c>
      <c r="Q30" s="37" t="str">
        <f>IF(AND('Mapa final'!$Y$37="Media",'Mapa final'!$AA$37="Menor"),CONCATENATE("R5C",'Mapa final'!$O$37),"")</f>
        <v/>
      </c>
      <c r="R30" s="37" t="str">
        <f>IF(AND('Mapa final'!$Y$38="Media",'Mapa final'!$AA$38="Menor"),CONCATENATE("R5C",'Mapa final'!$O$38),"")</f>
        <v/>
      </c>
      <c r="S30" s="37" t="e">
        <f>IF(AND('Mapa final'!#REF!="Media",'Mapa final'!#REF!="Menor"),CONCATENATE("R5C",'Mapa final'!#REF!),"")</f>
        <v>#REF!</v>
      </c>
      <c r="T30" s="37" t="e">
        <f>IF(AND('Mapa final'!#REF!="Media",'Mapa final'!#REF!="Menor"),CONCATENATE("R5C",'Mapa final'!#REF!),"")</f>
        <v>#REF!</v>
      </c>
      <c r="U30" s="38" t="e">
        <f>IF(AND('Mapa final'!#REF!="Media",'Mapa final'!#REF!="Menor"),CONCATENATE("R5C",'Mapa final'!#REF!),"")</f>
        <v>#REF!</v>
      </c>
      <c r="V30" s="36" t="str">
        <f>IF(AND('Mapa final'!$Y$36="Media",'Mapa final'!$AA$36="Moderado"),CONCATENATE("R5C",'Mapa final'!$O$36),"")</f>
        <v/>
      </c>
      <c r="W30" s="37" t="str">
        <f>IF(AND('Mapa final'!$Y$37="Media",'Mapa final'!$AA$37="Moderado"),CONCATENATE("R5C",'Mapa final'!$O$37),"")</f>
        <v/>
      </c>
      <c r="X30" s="37" t="str">
        <f>IF(AND('Mapa final'!$Y$38="Media",'Mapa final'!$AA$38="Moderado"),CONCATENATE("R5C",'Mapa final'!$O$38),"")</f>
        <v/>
      </c>
      <c r="Y30" s="37" t="e">
        <f>IF(AND('Mapa final'!#REF!="Media",'Mapa final'!#REF!="Moderado"),CONCATENATE("R5C",'Mapa final'!#REF!),"")</f>
        <v>#REF!</v>
      </c>
      <c r="Z30" s="37" t="e">
        <f>IF(AND('Mapa final'!#REF!="Media",'Mapa final'!#REF!="Moderado"),CONCATENATE("R5C",'Mapa final'!#REF!),"")</f>
        <v>#REF!</v>
      </c>
      <c r="AA30" s="38" t="e">
        <f>IF(AND('Mapa final'!#REF!="Media",'Mapa final'!#REF!="Moderado"),CONCATENATE("R5C",'Mapa final'!#REF!),"")</f>
        <v>#REF!</v>
      </c>
      <c r="AB30" s="21" t="str">
        <f>IF(AND('Mapa final'!$Y$36="Media",'Mapa final'!$AA$36="Mayor"),CONCATENATE("R5C",'Mapa final'!$O$36),"")</f>
        <v/>
      </c>
      <c r="AC30" s="22" t="str">
        <f>IF(AND('Mapa final'!$Y$37="Media",'Mapa final'!$AA$37="Mayor"),CONCATENATE("R5C",'Mapa final'!$O$37),"")</f>
        <v/>
      </c>
      <c r="AD30" s="22" t="str">
        <f>IF(AND('Mapa final'!$Y$38="Media",'Mapa final'!$AA$38="Mayor"),CONCATENATE("R5C",'Mapa final'!$O$38),"")</f>
        <v/>
      </c>
      <c r="AE30" s="22" t="e">
        <f>IF(AND('Mapa final'!#REF!="Media",'Mapa final'!#REF!="Mayor"),CONCATENATE("R5C",'Mapa final'!#REF!),"")</f>
        <v>#REF!</v>
      </c>
      <c r="AF30" s="22" t="e">
        <f>IF(AND('Mapa final'!#REF!="Media",'Mapa final'!#REF!="Mayor"),CONCATENATE("R5C",'Mapa final'!#REF!),"")</f>
        <v>#REF!</v>
      </c>
      <c r="AG30" s="23" t="e">
        <f>IF(AND('Mapa final'!#REF!="Media",'Mapa final'!#REF!="Mayor"),CONCATENATE("R5C",'Mapa final'!#REF!),"")</f>
        <v>#REF!</v>
      </c>
      <c r="AH30" s="24" t="str">
        <f>IF(AND('Mapa final'!$Y$36="Media",'Mapa final'!$AA$36="Catastrófico"),CONCATENATE("R5C",'Mapa final'!$O$36),"")</f>
        <v/>
      </c>
      <c r="AI30" s="25" t="str">
        <f>IF(AND('Mapa final'!$Y$37="Media",'Mapa final'!$AA$37="Catastrófico"),CONCATENATE("R5C",'Mapa final'!$O$37),"")</f>
        <v/>
      </c>
      <c r="AJ30" s="25" t="str">
        <f>IF(AND('Mapa final'!$Y$38="Media",'Mapa final'!$AA$38="Catastrófico"),CONCATENATE("R5C",'Mapa final'!$O$38),"")</f>
        <v/>
      </c>
      <c r="AK30" s="25" t="e">
        <f>IF(AND('Mapa final'!#REF!="Media",'Mapa final'!#REF!="Catastrófico"),CONCATENATE("R5C",'Mapa final'!#REF!),"")</f>
        <v>#REF!</v>
      </c>
      <c r="AL30" s="25" t="e">
        <f>IF(AND('Mapa final'!#REF!="Media",'Mapa final'!#REF!="Catastrófico"),CONCATENATE("R5C",'Mapa final'!#REF!),"")</f>
        <v>#REF!</v>
      </c>
      <c r="AM30" s="26" t="e">
        <f>IF(AND('Mapa final'!#REF!="Media",'Mapa final'!#REF!="Catastrófico"),CONCATENATE("R5C",'Mapa final'!#REF!),"")</f>
        <v>#REF!</v>
      </c>
      <c r="AN30" s="1"/>
      <c r="AO30" s="271"/>
      <c r="AP30" s="211"/>
      <c r="AQ30" s="211"/>
      <c r="AR30" s="211"/>
      <c r="AS30" s="211"/>
      <c r="AT30" s="272"/>
    </row>
    <row r="31" spans="2:46" ht="15" customHeight="1" x14ac:dyDescent="0.25">
      <c r="B31" s="288"/>
      <c r="C31" s="211"/>
      <c r="D31" s="212"/>
      <c r="E31" s="223"/>
      <c r="F31" s="211"/>
      <c r="G31" s="211"/>
      <c r="H31" s="211"/>
      <c r="I31" s="212"/>
      <c r="J31" s="36" t="str">
        <f>IF(AND('Mapa final'!$Y$41="Media",'Mapa final'!$AA$41="Leve"),CONCATENATE("R6C",'Mapa final'!$O$41),"")</f>
        <v/>
      </c>
      <c r="K31" s="37" t="str">
        <f>IF(AND('Mapa final'!$Y$42="Media",'Mapa final'!$AA$42="Leve"),CONCATENATE("R6C",'Mapa final'!$O$42),"")</f>
        <v/>
      </c>
      <c r="L31" s="37" t="str">
        <f>IF(AND('Mapa final'!$Y$43="Media",'Mapa final'!$AA$43="Leve"),CONCATENATE("R6C",'Mapa final'!$O$43),"")</f>
        <v/>
      </c>
      <c r="M31" s="37" t="e">
        <f>IF(AND('Mapa final'!#REF!="Media",'Mapa final'!#REF!="Leve"),CONCATENATE("R6C",'Mapa final'!#REF!),"")</f>
        <v>#REF!</v>
      </c>
      <c r="N31" s="37" t="e">
        <f>IF(AND('Mapa final'!#REF!="Media",'Mapa final'!#REF!="Leve"),CONCATENATE("R6C",'Mapa final'!#REF!),"")</f>
        <v>#REF!</v>
      </c>
      <c r="O31" s="38" t="e">
        <f>IF(AND('Mapa final'!#REF!="Media",'Mapa final'!#REF!="Leve"),CONCATENATE("R6C",'Mapa final'!#REF!),"")</f>
        <v>#REF!</v>
      </c>
      <c r="P31" s="36" t="str">
        <f>IF(AND('Mapa final'!$Y$41="Media",'Mapa final'!$AA$41="Menor"),CONCATENATE("R6C",'Mapa final'!$O$41),"")</f>
        <v/>
      </c>
      <c r="Q31" s="37" t="str">
        <f>IF(AND('Mapa final'!$Y$42="Media",'Mapa final'!$AA$42="Menor"),CONCATENATE("R6C",'Mapa final'!$O$42),"")</f>
        <v/>
      </c>
      <c r="R31" s="37" t="str">
        <f>IF(AND('Mapa final'!$Y$43="Media",'Mapa final'!$AA$43="Menor"),CONCATENATE("R6C",'Mapa final'!$O$43),"")</f>
        <v/>
      </c>
      <c r="S31" s="37" t="e">
        <f>IF(AND('Mapa final'!#REF!="Media",'Mapa final'!#REF!="Menor"),CONCATENATE("R6C",'Mapa final'!#REF!),"")</f>
        <v>#REF!</v>
      </c>
      <c r="T31" s="37" t="e">
        <f>IF(AND('Mapa final'!#REF!="Media",'Mapa final'!#REF!="Menor"),CONCATENATE("R6C",'Mapa final'!#REF!),"")</f>
        <v>#REF!</v>
      </c>
      <c r="U31" s="38" t="e">
        <f>IF(AND('Mapa final'!#REF!="Media",'Mapa final'!#REF!="Menor"),CONCATENATE("R6C",'Mapa final'!#REF!),"")</f>
        <v>#REF!</v>
      </c>
      <c r="V31" s="36" t="str">
        <f>IF(AND('Mapa final'!$Y$41="Media",'Mapa final'!$AA$41="Moderado"),CONCATENATE("R6C",'Mapa final'!$O$41),"")</f>
        <v/>
      </c>
      <c r="W31" s="37" t="str">
        <f>IF(AND('Mapa final'!$Y$42="Media",'Mapa final'!$AA$42="Moderado"),CONCATENATE("R6C",'Mapa final'!$O$42),"")</f>
        <v/>
      </c>
      <c r="X31" s="37" t="str">
        <f>IF(AND('Mapa final'!$Y$43="Media",'Mapa final'!$AA$43="Moderado"),CONCATENATE("R6C",'Mapa final'!$O$43),"")</f>
        <v/>
      </c>
      <c r="Y31" s="37" t="e">
        <f>IF(AND('Mapa final'!#REF!="Media",'Mapa final'!#REF!="Moderado"),CONCATENATE("R6C",'Mapa final'!#REF!),"")</f>
        <v>#REF!</v>
      </c>
      <c r="Z31" s="37" t="e">
        <f>IF(AND('Mapa final'!#REF!="Media",'Mapa final'!#REF!="Moderado"),CONCATENATE("R6C",'Mapa final'!#REF!),"")</f>
        <v>#REF!</v>
      </c>
      <c r="AA31" s="38" t="e">
        <f>IF(AND('Mapa final'!#REF!="Media",'Mapa final'!#REF!="Moderado"),CONCATENATE("R6C",'Mapa final'!#REF!),"")</f>
        <v>#REF!</v>
      </c>
      <c r="AB31" s="21" t="str">
        <f>IF(AND('Mapa final'!$Y$41="Media",'Mapa final'!$AA$41="Mayor"),CONCATENATE("R6C",'Mapa final'!$O$41),"")</f>
        <v/>
      </c>
      <c r="AC31" s="22" t="str">
        <f>IF(AND('Mapa final'!$Y$42="Media",'Mapa final'!$AA$42="Mayor"),CONCATENATE("R6C",'Mapa final'!$O$42),"")</f>
        <v/>
      </c>
      <c r="AD31" s="22" t="str">
        <f>IF(AND('Mapa final'!$Y$43="Media",'Mapa final'!$AA$43="Mayor"),CONCATENATE("R6C",'Mapa final'!$O$43),"")</f>
        <v/>
      </c>
      <c r="AE31" s="22" t="e">
        <f>IF(AND('Mapa final'!#REF!="Media",'Mapa final'!#REF!="Mayor"),CONCATENATE("R6C",'Mapa final'!#REF!),"")</f>
        <v>#REF!</v>
      </c>
      <c r="AF31" s="22" t="e">
        <f>IF(AND('Mapa final'!#REF!="Media",'Mapa final'!#REF!="Mayor"),CONCATENATE("R6C",'Mapa final'!#REF!),"")</f>
        <v>#REF!</v>
      </c>
      <c r="AG31" s="23" t="e">
        <f>IF(AND('Mapa final'!#REF!="Media",'Mapa final'!#REF!="Mayor"),CONCATENATE("R6C",'Mapa final'!#REF!),"")</f>
        <v>#REF!</v>
      </c>
      <c r="AH31" s="24" t="str">
        <f>IF(AND('Mapa final'!$Y$41="Media",'Mapa final'!$AA$41="Catastrófico"),CONCATENATE("R6C",'Mapa final'!$O$41),"")</f>
        <v/>
      </c>
      <c r="AI31" s="25" t="str">
        <f>IF(AND('Mapa final'!$Y$42="Media",'Mapa final'!$AA$42="Catastrófico"),CONCATENATE("R6C",'Mapa final'!$O$42),"")</f>
        <v/>
      </c>
      <c r="AJ31" s="25" t="str">
        <f>IF(AND('Mapa final'!$Y$43="Media",'Mapa final'!$AA$43="Catastrófico"),CONCATENATE("R6C",'Mapa final'!$O$43),"")</f>
        <v/>
      </c>
      <c r="AK31" s="25" t="e">
        <f>IF(AND('Mapa final'!#REF!="Media",'Mapa final'!#REF!="Catastrófico"),CONCATENATE("R6C",'Mapa final'!#REF!),"")</f>
        <v>#REF!</v>
      </c>
      <c r="AL31" s="25" t="e">
        <f>IF(AND('Mapa final'!#REF!="Media",'Mapa final'!#REF!="Catastrófico"),CONCATENATE("R6C",'Mapa final'!#REF!),"")</f>
        <v>#REF!</v>
      </c>
      <c r="AM31" s="26" t="e">
        <f>IF(AND('Mapa final'!#REF!="Media",'Mapa final'!#REF!="Catastrófico"),CONCATENATE("R6C",'Mapa final'!#REF!),"")</f>
        <v>#REF!</v>
      </c>
      <c r="AN31" s="1"/>
      <c r="AO31" s="271"/>
      <c r="AP31" s="211"/>
      <c r="AQ31" s="211"/>
      <c r="AR31" s="211"/>
      <c r="AS31" s="211"/>
      <c r="AT31" s="272"/>
    </row>
    <row r="32" spans="2:46" ht="15" customHeight="1" x14ac:dyDescent="0.25">
      <c r="B32" s="288"/>
      <c r="C32" s="211"/>
      <c r="D32" s="212"/>
      <c r="E32" s="223"/>
      <c r="F32" s="211"/>
      <c r="G32" s="211"/>
      <c r="H32" s="211"/>
      <c r="I32" s="212"/>
      <c r="J32" s="36" t="e">
        <f>IF(AND('Mapa final'!#REF!="Media",'Mapa final'!#REF!="Leve"),CONCATENATE("R7C",'Mapa final'!#REF!),"")</f>
        <v>#REF!</v>
      </c>
      <c r="K32" s="37" t="e">
        <f>IF(AND('Mapa final'!#REF!="Media",'Mapa final'!#REF!="Leve"),CONCATENATE("R7C",'Mapa final'!#REF!),"")</f>
        <v>#REF!</v>
      </c>
      <c r="L32" s="37" t="e">
        <f>IF(AND('Mapa final'!#REF!="Media",'Mapa final'!#REF!="Leve"),CONCATENATE("R7C",'Mapa final'!#REF!),"")</f>
        <v>#REF!</v>
      </c>
      <c r="M32" s="37" t="e">
        <f>IF(AND('Mapa final'!#REF!="Media",'Mapa final'!#REF!="Leve"),CONCATENATE("R7C",'Mapa final'!#REF!),"")</f>
        <v>#REF!</v>
      </c>
      <c r="N32" s="37" t="e">
        <f>IF(AND('Mapa final'!#REF!="Media",'Mapa final'!#REF!="Leve"),CONCATENATE("R7C",'Mapa final'!#REF!),"")</f>
        <v>#REF!</v>
      </c>
      <c r="O32" s="38" t="e">
        <f>IF(AND('Mapa final'!#REF!="Media",'Mapa final'!#REF!="Leve"),CONCATENATE("R7C",'Mapa final'!#REF!),"")</f>
        <v>#REF!</v>
      </c>
      <c r="P32" s="36" t="e">
        <f>IF(AND('Mapa final'!#REF!="Media",'Mapa final'!#REF!="Menor"),CONCATENATE("R7C",'Mapa final'!#REF!),"")</f>
        <v>#REF!</v>
      </c>
      <c r="Q32" s="37" t="e">
        <f>IF(AND('Mapa final'!#REF!="Media",'Mapa final'!#REF!="Menor"),CONCATENATE("R7C",'Mapa final'!#REF!),"")</f>
        <v>#REF!</v>
      </c>
      <c r="R32" s="37" t="e">
        <f>IF(AND('Mapa final'!#REF!="Media",'Mapa final'!#REF!="Menor"),CONCATENATE("R7C",'Mapa final'!#REF!),"")</f>
        <v>#REF!</v>
      </c>
      <c r="S32" s="37" t="e">
        <f>IF(AND('Mapa final'!#REF!="Media",'Mapa final'!#REF!="Menor"),CONCATENATE("R7C",'Mapa final'!#REF!),"")</f>
        <v>#REF!</v>
      </c>
      <c r="T32" s="37" t="e">
        <f>IF(AND('Mapa final'!#REF!="Media",'Mapa final'!#REF!="Menor"),CONCATENATE("R7C",'Mapa final'!#REF!),"")</f>
        <v>#REF!</v>
      </c>
      <c r="U32" s="38" t="e">
        <f>IF(AND('Mapa final'!#REF!="Media",'Mapa final'!#REF!="Menor"),CONCATENATE("R7C",'Mapa final'!#REF!),"")</f>
        <v>#REF!</v>
      </c>
      <c r="V32" s="36" t="e">
        <f>IF(AND('Mapa final'!#REF!="Media",'Mapa final'!#REF!="Moderado"),CONCATENATE("R7C",'Mapa final'!#REF!),"")</f>
        <v>#REF!</v>
      </c>
      <c r="W32" s="37" t="e">
        <f>IF(AND('Mapa final'!#REF!="Media",'Mapa final'!#REF!="Moderado"),CONCATENATE("R7C",'Mapa final'!#REF!),"")</f>
        <v>#REF!</v>
      </c>
      <c r="X32" s="37" t="e">
        <f>IF(AND('Mapa final'!#REF!="Media",'Mapa final'!#REF!="Moderado"),CONCATENATE("R7C",'Mapa final'!#REF!),"")</f>
        <v>#REF!</v>
      </c>
      <c r="Y32" s="37" t="e">
        <f>IF(AND('Mapa final'!#REF!="Media",'Mapa final'!#REF!="Moderado"),CONCATENATE("R7C",'Mapa final'!#REF!),"")</f>
        <v>#REF!</v>
      </c>
      <c r="Z32" s="37" t="e">
        <f>IF(AND('Mapa final'!#REF!="Media",'Mapa final'!#REF!="Moderado"),CONCATENATE("R7C",'Mapa final'!#REF!),"")</f>
        <v>#REF!</v>
      </c>
      <c r="AA32" s="38" t="e">
        <f>IF(AND('Mapa final'!#REF!="Media",'Mapa final'!#REF!="Moderado"),CONCATENATE("R7C",'Mapa final'!#REF!),"")</f>
        <v>#REF!</v>
      </c>
      <c r="AB32" s="21" t="e">
        <f>IF(AND('Mapa final'!#REF!="Media",'Mapa final'!#REF!="Mayor"),CONCATENATE("R7C",'Mapa final'!#REF!),"")</f>
        <v>#REF!</v>
      </c>
      <c r="AC32" s="22" t="e">
        <f>IF(AND('Mapa final'!#REF!="Media",'Mapa final'!#REF!="Mayor"),CONCATENATE("R7C",'Mapa final'!#REF!),"")</f>
        <v>#REF!</v>
      </c>
      <c r="AD32" s="22" t="e">
        <f>IF(AND('Mapa final'!#REF!="Media",'Mapa final'!#REF!="Mayor"),CONCATENATE("R7C",'Mapa final'!#REF!),"")</f>
        <v>#REF!</v>
      </c>
      <c r="AE32" s="22" t="e">
        <f>IF(AND('Mapa final'!#REF!="Media",'Mapa final'!#REF!="Mayor"),CONCATENATE("R7C",'Mapa final'!#REF!),"")</f>
        <v>#REF!</v>
      </c>
      <c r="AF32" s="22" t="e">
        <f>IF(AND('Mapa final'!#REF!="Media",'Mapa final'!#REF!="Mayor"),CONCATENATE("R7C",'Mapa final'!#REF!),"")</f>
        <v>#REF!</v>
      </c>
      <c r="AG32" s="23" t="e">
        <f>IF(AND('Mapa final'!#REF!="Media",'Mapa final'!#REF!="Mayor"),CONCATENATE("R7C",'Mapa final'!#REF!),"")</f>
        <v>#REF!</v>
      </c>
      <c r="AH32" s="24" t="e">
        <f>IF(AND('Mapa final'!#REF!="Media",'Mapa final'!#REF!="Catastrófico"),CONCATENATE("R7C",'Mapa final'!#REF!),"")</f>
        <v>#REF!</v>
      </c>
      <c r="AI32" s="25" t="e">
        <f>IF(AND('Mapa final'!#REF!="Media",'Mapa final'!#REF!="Catastrófico"),CONCATENATE("R7C",'Mapa final'!#REF!),"")</f>
        <v>#REF!</v>
      </c>
      <c r="AJ32" s="25" t="e">
        <f>IF(AND('Mapa final'!#REF!="Media",'Mapa final'!#REF!="Catastrófico"),CONCATENATE("R7C",'Mapa final'!#REF!),"")</f>
        <v>#REF!</v>
      </c>
      <c r="AK32" s="25" t="e">
        <f>IF(AND('Mapa final'!#REF!="Media",'Mapa final'!#REF!="Catastrófico"),CONCATENATE("R7C",'Mapa final'!#REF!),"")</f>
        <v>#REF!</v>
      </c>
      <c r="AL32" s="25" t="e">
        <f>IF(AND('Mapa final'!#REF!="Media",'Mapa final'!#REF!="Catastrófico"),CONCATENATE("R7C",'Mapa final'!#REF!),"")</f>
        <v>#REF!</v>
      </c>
      <c r="AM32" s="26" t="e">
        <f>IF(AND('Mapa final'!#REF!="Media",'Mapa final'!#REF!="Catastrófico"),CONCATENATE("R7C",'Mapa final'!#REF!),"")</f>
        <v>#REF!</v>
      </c>
      <c r="AN32" s="1"/>
      <c r="AO32" s="271"/>
      <c r="AP32" s="211"/>
      <c r="AQ32" s="211"/>
      <c r="AR32" s="211"/>
      <c r="AS32" s="211"/>
      <c r="AT32" s="272"/>
    </row>
    <row r="33" spans="2:46" ht="15" customHeight="1" x14ac:dyDescent="0.25">
      <c r="B33" s="288"/>
      <c r="C33" s="211"/>
      <c r="D33" s="212"/>
      <c r="E33" s="223"/>
      <c r="F33" s="211"/>
      <c r="G33" s="211"/>
      <c r="H33" s="211"/>
      <c r="I33" s="212"/>
      <c r="J33" s="36" t="e">
        <f>IF(AND('Mapa final'!#REF!="Media",'Mapa final'!#REF!="Leve"),CONCATENATE("R8C",'Mapa final'!#REF!),"")</f>
        <v>#REF!</v>
      </c>
      <c r="K33" s="37" t="e">
        <f>IF(AND('Mapa final'!#REF!="Media",'Mapa final'!#REF!="Leve"),CONCATENATE("R8C",'Mapa final'!#REF!),"")</f>
        <v>#REF!</v>
      </c>
      <c r="L33" s="37" t="e">
        <f>IF(AND('Mapa final'!#REF!="Media",'Mapa final'!#REF!="Leve"),CONCATENATE("R8C",'Mapa final'!#REF!),"")</f>
        <v>#REF!</v>
      </c>
      <c r="M33" s="37" t="e">
        <f>IF(AND('Mapa final'!#REF!="Media",'Mapa final'!#REF!="Leve"),CONCATENATE("R8C",'Mapa final'!#REF!),"")</f>
        <v>#REF!</v>
      </c>
      <c r="N33" s="37" t="e">
        <f>IF(AND('Mapa final'!#REF!="Media",'Mapa final'!#REF!="Leve"),CONCATENATE("R8C",'Mapa final'!#REF!),"")</f>
        <v>#REF!</v>
      </c>
      <c r="O33" s="38" t="e">
        <f>IF(AND('Mapa final'!#REF!="Media",'Mapa final'!#REF!="Leve"),CONCATENATE("R8C",'Mapa final'!#REF!),"")</f>
        <v>#REF!</v>
      </c>
      <c r="P33" s="36" t="e">
        <f>IF(AND('Mapa final'!#REF!="Media",'Mapa final'!#REF!="Menor"),CONCATENATE("R8C",'Mapa final'!#REF!),"")</f>
        <v>#REF!</v>
      </c>
      <c r="Q33" s="37" t="e">
        <f>IF(AND('Mapa final'!#REF!="Media",'Mapa final'!#REF!="Menor"),CONCATENATE("R8C",'Mapa final'!#REF!),"")</f>
        <v>#REF!</v>
      </c>
      <c r="R33" s="37" t="e">
        <f>IF(AND('Mapa final'!#REF!="Media",'Mapa final'!#REF!="Menor"),CONCATENATE("R8C",'Mapa final'!#REF!),"")</f>
        <v>#REF!</v>
      </c>
      <c r="S33" s="37" t="e">
        <f>IF(AND('Mapa final'!#REF!="Media",'Mapa final'!#REF!="Menor"),CONCATENATE("R8C",'Mapa final'!#REF!),"")</f>
        <v>#REF!</v>
      </c>
      <c r="T33" s="37" t="e">
        <f>IF(AND('Mapa final'!#REF!="Media",'Mapa final'!#REF!="Menor"),CONCATENATE("R8C",'Mapa final'!#REF!),"")</f>
        <v>#REF!</v>
      </c>
      <c r="U33" s="38" t="e">
        <f>IF(AND('Mapa final'!#REF!="Media",'Mapa final'!#REF!="Menor"),CONCATENATE("R8C",'Mapa final'!#REF!),"")</f>
        <v>#REF!</v>
      </c>
      <c r="V33" s="36" t="e">
        <f>IF(AND('Mapa final'!#REF!="Media",'Mapa final'!#REF!="Moderado"),CONCATENATE("R8C",'Mapa final'!#REF!),"")</f>
        <v>#REF!</v>
      </c>
      <c r="W33" s="37" t="e">
        <f>IF(AND('Mapa final'!#REF!="Media",'Mapa final'!#REF!="Moderado"),CONCATENATE("R8C",'Mapa final'!#REF!),"")</f>
        <v>#REF!</v>
      </c>
      <c r="X33" s="37" t="e">
        <f>IF(AND('Mapa final'!#REF!="Media",'Mapa final'!#REF!="Moderado"),CONCATENATE("R8C",'Mapa final'!#REF!),"")</f>
        <v>#REF!</v>
      </c>
      <c r="Y33" s="37" t="e">
        <f>IF(AND('Mapa final'!#REF!="Media",'Mapa final'!#REF!="Moderado"),CONCATENATE("R8C",'Mapa final'!#REF!),"")</f>
        <v>#REF!</v>
      </c>
      <c r="Z33" s="37" t="e">
        <f>IF(AND('Mapa final'!#REF!="Media",'Mapa final'!#REF!="Moderado"),CONCATENATE("R8C",'Mapa final'!#REF!),"")</f>
        <v>#REF!</v>
      </c>
      <c r="AA33" s="38" t="e">
        <f>IF(AND('Mapa final'!#REF!="Media",'Mapa final'!#REF!="Moderado"),CONCATENATE("R8C",'Mapa final'!#REF!),"")</f>
        <v>#REF!</v>
      </c>
      <c r="AB33" s="21" t="e">
        <f>IF(AND('Mapa final'!#REF!="Media",'Mapa final'!#REF!="Mayor"),CONCATENATE("R8C",'Mapa final'!#REF!),"")</f>
        <v>#REF!</v>
      </c>
      <c r="AC33" s="22" t="e">
        <f>IF(AND('Mapa final'!#REF!="Media",'Mapa final'!#REF!="Mayor"),CONCATENATE("R8C",'Mapa final'!#REF!),"")</f>
        <v>#REF!</v>
      </c>
      <c r="AD33" s="22" t="e">
        <f>IF(AND('Mapa final'!#REF!="Media",'Mapa final'!#REF!="Mayor"),CONCATENATE("R8C",'Mapa final'!#REF!),"")</f>
        <v>#REF!</v>
      </c>
      <c r="AE33" s="22" t="e">
        <f>IF(AND('Mapa final'!#REF!="Media",'Mapa final'!#REF!="Mayor"),CONCATENATE("R8C",'Mapa final'!#REF!),"")</f>
        <v>#REF!</v>
      </c>
      <c r="AF33" s="22" t="e">
        <f>IF(AND('Mapa final'!#REF!="Media",'Mapa final'!#REF!="Mayor"),CONCATENATE("R8C",'Mapa final'!#REF!),"")</f>
        <v>#REF!</v>
      </c>
      <c r="AG33" s="23" t="e">
        <f>IF(AND('Mapa final'!#REF!="Media",'Mapa final'!#REF!="Mayor"),CONCATENATE("R8C",'Mapa final'!#REF!),"")</f>
        <v>#REF!</v>
      </c>
      <c r="AH33" s="24" t="e">
        <f>IF(AND('Mapa final'!#REF!="Media",'Mapa final'!#REF!="Catastrófico"),CONCATENATE("R8C",'Mapa final'!#REF!),"")</f>
        <v>#REF!</v>
      </c>
      <c r="AI33" s="25" t="e">
        <f>IF(AND('Mapa final'!#REF!="Media",'Mapa final'!#REF!="Catastrófico"),CONCATENATE("R8C",'Mapa final'!#REF!),"")</f>
        <v>#REF!</v>
      </c>
      <c r="AJ33" s="25" t="e">
        <f>IF(AND('Mapa final'!#REF!="Media",'Mapa final'!#REF!="Catastrófico"),CONCATENATE("R8C",'Mapa final'!#REF!),"")</f>
        <v>#REF!</v>
      </c>
      <c r="AK33" s="25" t="e">
        <f>IF(AND('Mapa final'!#REF!="Media",'Mapa final'!#REF!="Catastrófico"),CONCATENATE("R8C",'Mapa final'!#REF!),"")</f>
        <v>#REF!</v>
      </c>
      <c r="AL33" s="25" t="e">
        <f>IF(AND('Mapa final'!#REF!="Media",'Mapa final'!#REF!="Catastrófico"),CONCATENATE("R8C",'Mapa final'!#REF!),"")</f>
        <v>#REF!</v>
      </c>
      <c r="AM33" s="26" t="e">
        <f>IF(AND('Mapa final'!#REF!="Media",'Mapa final'!#REF!="Catastrófico"),CONCATENATE("R8C",'Mapa final'!#REF!),"")</f>
        <v>#REF!</v>
      </c>
      <c r="AN33" s="1"/>
      <c r="AO33" s="271"/>
      <c r="AP33" s="211"/>
      <c r="AQ33" s="211"/>
      <c r="AR33" s="211"/>
      <c r="AS33" s="211"/>
      <c r="AT33" s="272"/>
    </row>
    <row r="34" spans="2:46" ht="15" customHeight="1" x14ac:dyDescent="0.25">
      <c r="B34" s="288"/>
      <c r="C34" s="211"/>
      <c r="D34" s="212"/>
      <c r="E34" s="223"/>
      <c r="F34" s="211"/>
      <c r="G34" s="211"/>
      <c r="H34" s="211"/>
      <c r="I34" s="212"/>
      <c r="J34" s="36" t="e">
        <f>IF(AND('Mapa final'!#REF!="Media",'Mapa final'!#REF!="Leve"),CONCATENATE("R9C",'Mapa final'!#REF!),"")</f>
        <v>#REF!</v>
      </c>
      <c r="K34" s="37" t="e">
        <f>IF(AND('Mapa final'!#REF!="Media",'Mapa final'!#REF!="Leve"),CONCATENATE("R9C",'Mapa final'!#REF!),"")</f>
        <v>#REF!</v>
      </c>
      <c r="L34" s="37" t="e">
        <f>IF(AND('Mapa final'!#REF!="Media",'Mapa final'!#REF!="Leve"),CONCATENATE("R9C",'Mapa final'!#REF!),"")</f>
        <v>#REF!</v>
      </c>
      <c r="M34" s="37" t="e">
        <f>IF(AND('Mapa final'!#REF!="Media",'Mapa final'!#REF!="Leve"),CONCATENATE("R9C",'Mapa final'!#REF!),"")</f>
        <v>#REF!</v>
      </c>
      <c r="N34" s="37" t="e">
        <f>IF(AND('Mapa final'!#REF!="Media",'Mapa final'!#REF!="Leve"),CONCATENATE("R9C",'Mapa final'!#REF!),"")</f>
        <v>#REF!</v>
      </c>
      <c r="O34" s="38" t="e">
        <f>IF(AND('Mapa final'!#REF!="Media",'Mapa final'!#REF!="Leve"),CONCATENATE("R9C",'Mapa final'!#REF!),"")</f>
        <v>#REF!</v>
      </c>
      <c r="P34" s="36" t="e">
        <f>IF(AND('Mapa final'!#REF!="Media",'Mapa final'!#REF!="Menor"),CONCATENATE("R9C",'Mapa final'!#REF!),"")</f>
        <v>#REF!</v>
      </c>
      <c r="Q34" s="37" t="e">
        <f>IF(AND('Mapa final'!#REF!="Media",'Mapa final'!#REF!="Menor"),CONCATENATE("R9C",'Mapa final'!#REF!),"")</f>
        <v>#REF!</v>
      </c>
      <c r="R34" s="37" t="e">
        <f>IF(AND('Mapa final'!#REF!="Media",'Mapa final'!#REF!="Menor"),CONCATENATE("R9C",'Mapa final'!#REF!),"")</f>
        <v>#REF!</v>
      </c>
      <c r="S34" s="37" t="e">
        <f>IF(AND('Mapa final'!#REF!="Media",'Mapa final'!#REF!="Menor"),CONCATENATE("R9C",'Mapa final'!#REF!),"")</f>
        <v>#REF!</v>
      </c>
      <c r="T34" s="37" t="e">
        <f>IF(AND('Mapa final'!#REF!="Media",'Mapa final'!#REF!="Menor"),CONCATENATE("R9C",'Mapa final'!#REF!),"")</f>
        <v>#REF!</v>
      </c>
      <c r="U34" s="38" t="e">
        <f>IF(AND('Mapa final'!#REF!="Media",'Mapa final'!#REF!="Menor"),CONCATENATE("R9C",'Mapa final'!#REF!),"")</f>
        <v>#REF!</v>
      </c>
      <c r="V34" s="36" t="e">
        <f>IF(AND('Mapa final'!#REF!="Media",'Mapa final'!#REF!="Moderado"),CONCATENATE("R9C",'Mapa final'!#REF!),"")</f>
        <v>#REF!</v>
      </c>
      <c r="W34" s="37" t="e">
        <f>IF(AND('Mapa final'!#REF!="Media",'Mapa final'!#REF!="Moderado"),CONCATENATE("R9C",'Mapa final'!#REF!),"")</f>
        <v>#REF!</v>
      </c>
      <c r="X34" s="37" t="e">
        <f>IF(AND('Mapa final'!#REF!="Media",'Mapa final'!#REF!="Moderado"),CONCATENATE("R9C",'Mapa final'!#REF!),"")</f>
        <v>#REF!</v>
      </c>
      <c r="Y34" s="37" t="e">
        <f>IF(AND('Mapa final'!#REF!="Media",'Mapa final'!#REF!="Moderado"),CONCATENATE("R9C",'Mapa final'!#REF!),"")</f>
        <v>#REF!</v>
      </c>
      <c r="Z34" s="37" t="e">
        <f>IF(AND('Mapa final'!#REF!="Media",'Mapa final'!#REF!="Moderado"),CONCATENATE("R9C",'Mapa final'!#REF!),"")</f>
        <v>#REF!</v>
      </c>
      <c r="AA34" s="38" t="e">
        <f>IF(AND('Mapa final'!#REF!="Media",'Mapa final'!#REF!="Moderado"),CONCATENATE("R9C",'Mapa final'!#REF!),"")</f>
        <v>#REF!</v>
      </c>
      <c r="AB34" s="21" t="e">
        <f>IF(AND('Mapa final'!#REF!="Media",'Mapa final'!#REF!="Mayor"),CONCATENATE("R9C",'Mapa final'!#REF!),"")</f>
        <v>#REF!</v>
      </c>
      <c r="AC34" s="22" t="e">
        <f>IF(AND('Mapa final'!#REF!="Media",'Mapa final'!#REF!="Mayor"),CONCATENATE("R9C",'Mapa final'!#REF!),"")</f>
        <v>#REF!</v>
      </c>
      <c r="AD34" s="22" t="e">
        <f>IF(AND('Mapa final'!#REF!="Media",'Mapa final'!#REF!="Mayor"),CONCATENATE("R9C",'Mapa final'!#REF!),"")</f>
        <v>#REF!</v>
      </c>
      <c r="AE34" s="22" t="e">
        <f>IF(AND('Mapa final'!#REF!="Media",'Mapa final'!#REF!="Mayor"),CONCATENATE("R9C",'Mapa final'!#REF!),"")</f>
        <v>#REF!</v>
      </c>
      <c r="AF34" s="22" t="e">
        <f>IF(AND('Mapa final'!#REF!="Media",'Mapa final'!#REF!="Mayor"),CONCATENATE("R9C",'Mapa final'!#REF!),"")</f>
        <v>#REF!</v>
      </c>
      <c r="AG34" s="23" t="e">
        <f>IF(AND('Mapa final'!#REF!="Media",'Mapa final'!#REF!="Mayor"),CONCATENATE("R9C",'Mapa final'!#REF!),"")</f>
        <v>#REF!</v>
      </c>
      <c r="AH34" s="24" t="e">
        <f>IF(AND('Mapa final'!#REF!="Media",'Mapa final'!#REF!="Catastrófico"),CONCATENATE("R9C",'Mapa final'!#REF!),"")</f>
        <v>#REF!</v>
      </c>
      <c r="AI34" s="25" t="e">
        <f>IF(AND('Mapa final'!#REF!="Media",'Mapa final'!#REF!="Catastrófico"),CONCATENATE("R9C",'Mapa final'!#REF!),"")</f>
        <v>#REF!</v>
      </c>
      <c r="AJ34" s="25" t="e">
        <f>IF(AND('Mapa final'!#REF!="Media",'Mapa final'!#REF!="Catastrófico"),CONCATENATE("R9C",'Mapa final'!#REF!),"")</f>
        <v>#REF!</v>
      </c>
      <c r="AK34" s="25" t="e">
        <f>IF(AND('Mapa final'!#REF!="Media",'Mapa final'!#REF!="Catastrófico"),CONCATENATE("R9C",'Mapa final'!#REF!),"")</f>
        <v>#REF!</v>
      </c>
      <c r="AL34" s="25" t="e">
        <f>IF(AND('Mapa final'!#REF!="Media",'Mapa final'!#REF!="Catastrófico"),CONCATENATE("R9C",'Mapa final'!#REF!),"")</f>
        <v>#REF!</v>
      </c>
      <c r="AM34" s="26" t="e">
        <f>IF(AND('Mapa final'!#REF!="Media",'Mapa final'!#REF!="Catastrófico"),CONCATENATE("R9C",'Mapa final'!#REF!),"")</f>
        <v>#REF!</v>
      </c>
      <c r="AN34" s="1"/>
      <c r="AO34" s="271"/>
      <c r="AP34" s="211"/>
      <c r="AQ34" s="211"/>
      <c r="AR34" s="211"/>
      <c r="AS34" s="211"/>
      <c r="AT34" s="272"/>
    </row>
    <row r="35" spans="2:46" ht="15.75" customHeight="1" x14ac:dyDescent="0.25">
      <c r="B35" s="288"/>
      <c r="C35" s="211"/>
      <c r="D35" s="212"/>
      <c r="E35" s="257"/>
      <c r="F35" s="281"/>
      <c r="G35" s="281"/>
      <c r="H35" s="281"/>
      <c r="I35" s="260"/>
      <c r="J35" s="36" t="e">
        <f>IF(AND('Mapa final'!#REF!="Media",'Mapa final'!#REF!="Leve"),CONCATENATE("R10C",'Mapa final'!#REF!),"")</f>
        <v>#REF!</v>
      </c>
      <c r="K35" s="37" t="e">
        <f>IF(AND('Mapa final'!#REF!="Media",'Mapa final'!#REF!="Leve"),CONCATENATE("R10C",'Mapa final'!#REF!),"")</f>
        <v>#REF!</v>
      </c>
      <c r="L35" s="37" t="e">
        <f>IF(AND('Mapa final'!#REF!="Media",'Mapa final'!#REF!="Leve"),CONCATENATE("R10C",'Mapa final'!#REF!),"")</f>
        <v>#REF!</v>
      </c>
      <c r="M35" s="37" t="e">
        <f>IF(AND('Mapa final'!#REF!="Media",'Mapa final'!#REF!="Leve"),CONCATENATE("R10C",'Mapa final'!#REF!),"")</f>
        <v>#REF!</v>
      </c>
      <c r="N35" s="37" t="e">
        <f>IF(AND('Mapa final'!#REF!="Media",'Mapa final'!#REF!="Leve"),CONCATENATE("R10C",'Mapa final'!#REF!),"")</f>
        <v>#REF!</v>
      </c>
      <c r="O35" s="38" t="e">
        <f>IF(AND('Mapa final'!#REF!="Media",'Mapa final'!#REF!="Leve"),CONCATENATE("R10C",'Mapa final'!#REF!),"")</f>
        <v>#REF!</v>
      </c>
      <c r="P35" s="36" t="e">
        <f>IF(AND('Mapa final'!#REF!="Media",'Mapa final'!#REF!="Menor"),CONCATENATE("R10C",'Mapa final'!#REF!),"")</f>
        <v>#REF!</v>
      </c>
      <c r="Q35" s="37" t="e">
        <f>IF(AND('Mapa final'!#REF!="Media",'Mapa final'!#REF!="Menor"),CONCATENATE("R10C",'Mapa final'!#REF!),"")</f>
        <v>#REF!</v>
      </c>
      <c r="R35" s="37" t="e">
        <f>IF(AND('Mapa final'!#REF!="Media",'Mapa final'!#REF!="Menor"),CONCATENATE("R10C",'Mapa final'!#REF!),"")</f>
        <v>#REF!</v>
      </c>
      <c r="S35" s="37" t="e">
        <f>IF(AND('Mapa final'!#REF!="Media",'Mapa final'!#REF!="Menor"),CONCATENATE("R10C",'Mapa final'!#REF!),"")</f>
        <v>#REF!</v>
      </c>
      <c r="T35" s="37" t="e">
        <f>IF(AND('Mapa final'!#REF!="Media",'Mapa final'!#REF!="Menor"),CONCATENATE("R10C",'Mapa final'!#REF!),"")</f>
        <v>#REF!</v>
      </c>
      <c r="U35" s="38" t="e">
        <f>IF(AND('Mapa final'!#REF!="Media",'Mapa final'!#REF!="Menor"),CONCATENATE("R10C",'Mapa final'!#REF!),"")</f>
        <v>#REF!</v>
      </c>
      <c r="V35" s="36" t="e">
        <f>IF(AND('Mapa final'!#REF!="Media",'Mapa final'!#REF!="Moderado"),CONCATENATE("R10C",'Mapa final'!#REF!),"")</f>
        <v>#REF!</v>
      </c>
      <c r="W35" s="37" t="e">
        <f>IF(AND('Mapa final'!#REF!="Media",'Mapa final'!#REF!="Moderado"),CONCATENATE("R10C",'Mapa final'!#REF!),"")</f>
        <v>#REF!</v>
      </c>
      <c r="X35" s="37" t="e">
        <f>IF(AND('Mapa final'!#REF!="Media",'Mapa final'!#REF!="Moderado"),CONCATENATE("R10C",'Mapa final'!#REF!),"")</f>
        <v>#REF!</v>
      </c>
      <c r="Y35" s="37" t="e">
        <f>IF(AND('Mapa final'!#REF!="Media",'Mapa final'!#REF!="Moderado"),CONCATENATE("R10C",'Mapa final'!#REF!),"")</f>
        <v>#REF!</v>
      </c>
      <c r="Z35" s="37" t="e">
        <f>IF(AND('Mapa final'!#REF!="Media",'Mapa final'!#REF!="Moderado"),CONCATENATE("R10C",'Mapa final'!#REF!),"")</f>
        <v>#REF!</v>
      </c>
      <c r="AA35" s="38" t="e">
        <f>IF(AND('Mapa final'!#REF!="Media",'Mapa final'!#REF!="Moderado"),CONCATENATE("R10C",'Mapa final'!#REF!),"")</f>
        <v>#REF!</v>
      </c>
      <c r="AB35" s="27" t="e">
        <f>IF(AND('Mapa final'!#REF!="Media",'Mapa final'!#REF!="Mayor"),CONCATENATE("R10C",'Mapa final'!#REF!),"")</f>
        <v>#REF!</v>
      </c>
      <c r="AC35" s="28" t="e">
        <f>IF(AND('Mapa final'!#REF!="Media",'Mapa final'!#REF!="Mayor"),CONCATENATE("R10C",'Mapa final'!#REF!),"")</f>
        <v>#REF!</v>
      </c>
      <c r="AD35" s="28" t="e">
        <f>IF(AND('Mapa final'!#REF!="Media",'Mapa final'!#REF!="Mayor"),CONCATENATE("R10C",'Mapa final'!#REF!),"")</f>
        <v>#REF!</v>
      </c>
      <c r="AE35" s="28" t="e">
        <f>IF(AND('Mapa final'!#REF!="Media",'Mapa final'!#REF!="Mayor"),CONCATENATE("R10C",'Mapa final'!#REF!),"")</f>
        <v>#REF!</v>
      </c>
      <c r="AF35" s="28" t="e">
        <f>IF(AND('Mapa final'!#REF!="Media",'Mapa final'!#REF!="Mayor"),CONCATENATE("R10C",'Mapa final'!#REF!),"")</f>
        <v>#REF!</v>
      </c>
      <c r="AG35" s="29" t="e">
        <f>IF(AND('Mapa final'!#REF!="Media",'Mapa final'!#REF!="Mayor"),CONCATENATE("R10C",'Mapa final'!#REF!),"")</f>
        <v>#REF!</v>
      </c>
      <c r="AH35" s="30" t="e">
        <f>IF(AND('Mapa final'!#REF!="Media",'Mapa final'!#REF!="Catastrófico"),CONCATENATE("R10C",'Mapa final'!#REF!),"")</f>
        <v>#REF!</v>
      </c>
      <c r="AI35" s="31" t="e">
        <f>IF(AND('Mapa final'!#REF!="Media",'Mapa final'!#REF!="Catastrófico"),CONCATENATE("R10C",'Mapa final'!#REF!),"")</f>
        <v>#REF!</v>
      </c>
      <c r="AJ35" s="31" t="e">
        <f>IF(AND('Mapa final'!#REF!="Media",'Mapa final'!#REF!="Catastrófico"),CONCATENATE("R10C",'Mapa final'!#REF!),"")</f>
        <v>#REF!</v>
      </c>
      <c r="AK35" s="31" t="e">
        <f>IF(AND('Mapa final'!#REF!="Media",'Mapa final'!#REF!="Catastrófico"),CONCATENATE("R10C",'Mapa final'!#REF!),"")</f>
        <v>#REF!</v>
      </c>
      <c r="AL35" s="31" t="e">
        <f>IF(AND('Mapa final'!#REF!="Media",'Mapa final'!#REF!="Catastrófico"),CONCATENATE("R10C",'Mapa final'!#REF!),"")</f>
        <v>#REF!</v>
      </c>
      <c r="AM35" s="32" t="e">
        <f>IF(AND('Mapa final'!#REF!="Media",'Mapa final'!#REF!="Catastrófico"),CONCATENATE("R10C",'Mapa final'!#REF!),"")</f>
        <v>#REF!</v>
      </c>
      <c r="AN35" s="1"/>
      <c r="AO35" s="273"/>
      <c r="AP35" s="274"/>
      <c r="AQ35" s="274"/>
      <c r="AR35" s="274"/>
      <c r="AS35" s="274"/>
      <c r="AT35" s="275"/>
    </row>
    <row r="36" spans="2:46" ht="15" customHeight="1" x14ac:dyDescent="0.25">
      <c r="B36" s="288"/>
      <c r="C36" s="211"/>
      <c r="D36" s="212"/>
      <c r="E36" s="296" t="s">
        <v>101</v>
      </c>
      <c r="F36" s="280"/>
      <c r="G36" s="280"/>
      <c r="H36" s="280"/>
      <c r="I36" s="280"/>
      <c r="J36" s="42" t="str">
        <f>IF(AND('Mapa final'!$Y$16="Baja",'Mapa final'!$AA$16="Leve"),CONCATENATE("R1C",'Mapa final'!$O$16),"")</f>
        <v/>
      </c>
      <c r="K36" s="43" t="str">
        <f>IF(AND('Mapa final'!$Y$17="Baja",'Mapa final'!$AA$17="Leve"),CONCATENATE("R1C",'Mapa final'!$O$17),"")</f>
        <v/>
      </c>
      <c r="L36" s="43" t="str">
        <f>IF(AND('Mapa final'!$Y$18="Baja",'Mapa final'!$AA$18="Leve"),CONCATENATE("R1C",'Mapa final'!$O$18),"")</f>
        <v/>
      </c>
      <c r="M36" s="43" t="e">
        <f>IF(AND('Mapa final'!#REF!="Baja",'Mapa final'!#REF!="Leve"),CONCATENATE("R1C",'Mapa final'!#REF!),"")</f>
        <v>#REF!</v>
      </c>
      <c r="N36" s="43" t="e">
        <f>IF(AND('Mapa final'!#REF!="Baja",'Mapa final'!#REF!="Leve"),CONCATENATE("R1C",'Mapa final'!#REF!),"")</f>
        <v>#REF!</v>
      </c>
      <c r="O36" s="44" t="e">
        <f>IF(AND('Mapa final'!#REF!="Baja",'Mapa final'!#REF!="Leve"),CONCATENATE("R1C",'Mapa final'!#REF!),"")</f>
        <v>#REF!</v>
      </c>
      <c r="P36" s="33" t="str">
        <f>IF(AND('Mapa final'!$Y$16="Baja",'Mapa final'!$AA$16="Menor"),CONCATENATE("R1C",'Mapa final'!$O$16),"")</f>
        <v/>
      </c>
      <c r="Q36" s="34" t="str">
        <f>IF(AND('Mapa final'!$Y$17="Baja",'Mapa final'!$AA$17="Menor"),CONCATENATE("R1C",'Mapa final'!$O$17),"")</f>
        <v/>
      </c>
      <c r="R36" s="34" t="str">
        <f>IF(AND('Mapa final'!$Y$18="Baja",'Mapa final'!$AA$18="Menor"),CONCATENATE("R1C",'Mapa final'!$O$18),"")</f>
        <v/>
      </c>
      <c r="S36" s="34" t="e">
        <f>IF(AND('Mapa final'!#REF!="Baja",'Mapa final'!#REF!="Menor"),CONCATENATE("R1C",'Mapa final'!#REF!),"")</f>
        <v>#REF!</v>
      </c>
      <c r="T36" s="34" t="e">
        <f>IF(AND('Mapa final'!#REF!="Baja",'Mapa final'!#REF!="Menor"),CONCATENATE("R1C",'Mapa final'!#REF!),"")</f>
        <v>#REF!</v>
      </c>
      <c r="U36" s="35" t="e">
        <f>IF(AND('Mapa final'!#REF!="Baja",'Mapa final'!#REF!="Menor"),CONCATENATE("R1C",'Mapa final'!#REF!),"")</f>
        <v>#REF!</v>
      </c>
      <c r="V36" s="33" t="str">
        <f>IF(AND('Mapa final'!$Y$16="Baja",'Mapa final'!$AA$16="Moderado"),CONCATENATE("R1C",'Mapa final'!$O$16),"")</f>
        <v/>
      </c>
      <c r="W36" s="34" t="str">
        <f>IF(AND('Mapa final'!$Y$17="Baja",'Mapa final'!$AA$17="Moderado"),CONCATENATE("R1C",'Mapa final'!$O$17),"")</f>
        <v/>
      </c>
      <c r="X36" s="34" t="str">
        <f>IF(AND('Mapa final'!$Y$18="Baja",'Mapa final'!$AA$18="Moderado"),CONCATENATE("R1C",'Mapa final'!$O$18),"")</f>
        <v/>
      </c>
      <c r="Y36" s="34" t="e">
        <f>IF(AND('Mapa final'!#REF!="Baja",'Mapa final'!#REF!="Moderado"),CONCATENATE("R1C",'Mapa final'!#REF!),"")</f>
        <v>#REF!</v>
      </c>
      <c r="Z36" s="34" t="e">
        <f>IF(AND('Mapa final'!#REF!="Baja",'Mapa final'!#REF!="Moderado"),CONCATENATE("R1C",'Mapa final'!#REF!),"")</f>
        <v>#REF!</v>
      </c>
      <c r="AA36" s="35" t="e">
        <f>IF(AND('Mapa final'!#REF!="Baja",'Mapa final'!#REF!="Moderado"),CONCATENATE("R1C",'Mapa final'!#REF!),"")</f>
        <v>#REF!</v>
      </c>
      <c r="AB36" s="15" t="str">
        <f>IF(AND('Mapa final'!$Y$16="Baja",'Mapa final'!$AA$16="Mayor"),CONCATENATE("R1C",'Mapa final'!$O$16),"")</f>
        <v>R1C1</v>
      </c>
      <c r="AC36" s="16" t="str">
        <f>IF(AND('Mapa final'!$Y$17="Baja",'Mapa final'!$AA$17="Mayor"),CONCATENATE("R1C",'Mapa final'!$O$17),"")</f>
        <v>R1C2</v>
      </c>
      <c r="AD36" s="16" t="str">
        <f>IF(AND('Mapa final'!$Y$18="Baja",'Mapa final'!$AA$18="Mayor"),CONCATENATE("R1C",'Mapa final'!$O$18),"")</f>
        <v/>
      </c>
      <c r="AE36" s="16" t="e">
        <f>IF(AND('Mapa final'!#REF!="Baja",'Mapa final'!#REF!="Mayor"),CONCATENATE("R1C",'Mapa final'!#REF!),"")</f>
        <v>#REF!</v>
      </c>
      <c r="AF36" s="16" t="e">
        <f>IF(AND('Mapa final'!#REF!="Baja",'Mapa final'!#REF!="Mayor"),CONCATENATE("R1C",'Mapa final'!#REF!),"")</f>
        <v>#REF!</v>
      </c>
      <c r="AG36" s="17" t="e">
        <f>IF(AND('Mapa final'!#REF!="Baja",'Mapa final'!#REF!="Mayor"),CONCATENATE("R1C",'Mapa final'!#REF!),"")</f>
        <v>#REF!</v>
      </c>
      <c r="AH36" s="18" t="str">
        <f>IF(AND('Mapa final'!$Y$16="Baja",'Mapa final'!$AA$16="Catastrófico"),CONCATENATE("R1C",'Mapa final'!$O$16),"")</f>
        <v/>
      </c>
      <c r="AI36" s="19" t="str">
        <f>IF(AND('Mapa final'!$Y$17="Baja",'Mapa final'!$AA$17="Catastrófico"),CONCATENATE("R1C",'Mapa final'!$O$17),"")</f>
        <v/>
      </c>
      <c r="AJ36" s="19" t="str">
        <f>IF(AND('Mapa final'!$Y$18="Baja",'Mapa final'!$AA$18="Catastrófico"),CONCATENATE("R1C",'Mapa final'!$O$18),"")</f>
        <v/>
      </c>
      <c r="AK36" s="19" t="e">
        <f>IF(AND('Mapa final'!#REF!="Baja",'Mapa final'!#REF!="Catastrófico"),CONCATENATE("R1C",'Mapa final'!#REF!),"")</f>
        <v>#REF!</v>
      </c>
      <c r="AL36" s="19" t="e">
        <f>IF(AND('Mapa final'!#REF!="Baja",'Mapa final'!#REF!="Catastrófico"),CONCATENATE("R1C",'Mapa final'!#REF!),"")</f>
        <v>#REF!</v>
      </c>
      <c r="AM36" s="20" t="e">
        <f>IF(AND('Mapa final'!#REF!="Baja",'Mapa final'!#REF!="Catastrófico"),CONCATENATE("R1C",'Mapa final'!#REF!),"")</f>
        <v>#REF!</v>
      </c>
      <c r="AN36" s="1"/>
      <c r="AO36" s="295" t="s">
        <v>102</v>
      </c>
      <c r="AP36" s="269"/>
      <c r="AQ36" s="269"/>
      <c r="AR36" s="269"/>
      <c r="AS36" s="269"/>
      <c r="AT36" s="270"/>
    </row>
    <row r="37" spans="2:46" ht="15" customHeight="1" x14ac:dyDescent="0.25">
      <c r="B37" s="288"/>
      <c r="C37" s="211"/>
      <c r="D37" s="212"/>
      <c r="E37" s="223"/>
      <c r="F37" s="211"/>
      <c r="G37" s="211"/>
      <c r="H37" s="211"/>
      <c r="I37" s="211"/>
      <c r="J37" s="45" t="str">
        <f>IF(AND('Mapa final'!$Y$21="Baja",'Mapa final'!$AA$21="Leve"),CONCATENATE("R2C",'Mapa final'!$O$21),"")</f>
        <v/>
      </c>
      <c r="K37" s="46" t="e">
        <f>IF(AND('Mapa final'!#REF!="Baja",'Mapa final'!#REF!="Leve"),CONCATENATE("R2C",'Mapa final'!#REF!),"")</f>
        <v>#REF!</v>
      </c>
      <c r="L37" s="46" t="e">
        <f>IF(AND('Mapa final'!#REF!="Baja",'Mapa final'!#REF!="Leve"),CONCATENATE("R2C",'Mapa final'!#REF!),"")</f>
        <v>#REF!</v>
      </c>
      <c r="M37" s="46" t="e">
        <f>IF(AND('Mapa final'!#REF!="Baja",'Mapa final'!#REF!="Leve"),CONCATENATE("R2C",'Mapa final'!#REF!),"")</f>
        <v>#REF!</v>
      </c>
      <c r="N37" s="46" t="str">
        <f>IF(AND('Mapa final'!$Y$22="Baja",'Mapa final'!$AA$22="Leve"),CONCATENATE("R2C",'Mapa final'!$O$22),"")</f>
        <v/>
      </c>
      <c r="O37" s="47" t="str">
        <f>IF(AND('Mapa final'!$Y$23="Baja",'Mapa final'!$AA$23="Leve"),CONCATENATE("R2C",'Mapa final'!$O$23),"")</f>
        <v/>
      </c>
      <c r="P37" s="36" t="str">
        <f>IF(AND('Mapa final'!$Y$21="Baja",'Mapa final'!$AA$21="Menor"),CONCATENATE("R2C",'Mapa final'!$O$21),"")</f>
        <v/>
      </c>
      <c r="Q37" s="37" t="e">
        <f>IF(AND('Mapa final'!#REF!="Baja",'Mapa final'!#REF!="Menor"),CONCATENATE("R2C",'Mapa final'!#REF!),"")</f>
        <v>#REF!</v>
      </c>
      <c r="R37" s="37" t="e">
        <f>IF(AND('Mapa final'!#REF!="Baja",'Mapa final'!#REF!="Menor"),CONCATENATE("R2C",'Mapa final'!#REF!),"")</f>
        <v>#REF!</v>
      </c>
      <c r="S37" s="37" t="e">
        <f>IF(AND('Mapa final'!#REF!="Baja",'Mapa final'!#REF!="Menor"),CONCATENATE("R2C",'Mapa final'!#REF!),"")</f>
        <v>#REF!</v>
      </c>
      <c r="T37" s="37" t="str">
        <f>IF(AND('Mapa final'!$Y$22="Baja",'Mapa final'!$AA$22="Menor"),CONCATENATE("R2C",'Mapa final'!$O$22),"")</f>
        <v/>
      </c>
      <c r="U37" s="38" t="str">
        <f>IF(AND('Mapa final'!$Y$23="Baja",'Mapa final'!$AA$23="Menor"),CONCATENATE("R2C",'Mapa final'!$O$23),"")</f>
        <v/>
      </c>
      <c r="V37" s="36" t="str">
        <f>IF(AND('Mapa final'!$Y$21="Baja",'Mapa final'!$AA$21="Moderado"),CONCATENATE("R2C",'Mapa final'!$O$21),"")</f>
        <v>R2C1</v>
      </c>
      <c r="W37" s="37" t="e">
        <f>IF(AND('Mapa final'!#REF!="Baja",'Mapa final'!#REF!="Moderado"),CONCATENATE("R2C",'Mapa final'!#REF!),"")</f>
        <v>#REF!</v>
      </c>
      <c r="X37" s="37" t="e">
        <f>IF(AND('Mapa final'!#REF!="Baja",'Mapa final'!#REF!="Moderado"),CONCATENATE("R2C",'Mapa final'!#REF!),"")</f>
        <v>#REF!</v>
      </c>
      <c r="Y37" s="37" t="e">
        <f>IF(AND('Mapa final'!#REF!="Baja",'Mapa final'!#REF!="Moderado"),CONCATENATE("R2C",'Mapa final'!#REF!),"")</f>
        <v>#REF!</v>
      </c>
      <c r="Z37" s="37" t="str">
        <f>IF(AND('Mapa final'!$Y$22="Baja",'Mapa final'!$AA$22="Moderado"),CONCATENATE("R2C",'Mapa final'!$O$22),"")</f>
        <v>R2C2</v>
      </c>
      <c r="AA37" s="38" t="str">
        <f>IF(AND('Mapa final'!$Y$23="Baja",'Mapa final'!$AA$23="Moderado"),CONCATENATE("R2C",'Mapa final'!$O$23),"")</f>
        <v/>
      </c>
      <c r="AB37" s="21" t="str">
        <f>IF(AND('Mapa final'!$Y$21="Baja",'Mapa final'!$AA$21="Mayor"),CONCATENATE("R2C",'Mapa final'!$O$21),"")</f>
        <v/>
      </c>
      <c r="AC37" s="22" t="e">
        <f>IF(AND('Mapa final'!#REF!="Baja",'Mapa final'!#REF!="Mayor"),CONCATENATE("R2C",'Mapa final'!#REF!),"")</f>
        <v>#REF!</v>
      </c>
      <c r="AD37" s="22" t="e">
        <f>IF(AND('Mapa final'!#REF!="Baja",'Mapa final'!#REF!="Mayor"),CONCATENATE("R2C",'Mapa final'!#REF!),"")</f>
        <v>#REF!</v>
      </c>
      <c r="AE37" s="22" t="e">
        <f>IF(AND('Mapa final'!#REF!="Baja",'Mapa final'!#REF!="Mayor"),CONCATENATE("R2C",'Mapa final'!#REF!),"")</f>
        <v>#REF!</v>
      </c>
      <c r="AF37" s="22" t="str">
        <f>IF(AND('Mapa final'!$Y$22="Baja",'Mapa final'!$AA$22="Mayor"),CONCATENATE("R2C",'Mapa final'!$O$22),"")</f>
        <v/>
      </c>
      <c r="AG37" s="23" t="str">
        <f>IF(AND('Mapa final'!$Y$23="Baja",'Mapa final'!$AA$23="Mayor"),CONCATENATE("R2C",'Mapa final'!$O$23),"")</f>
        <v/>
      </c>
      <c r="AH37" s="24" t="str">
        <f>IF(AND('Mapa final'!$Y$21="Baja",'Mapa final'!$AA$21="Catastrófico"),CONCATENATE("R2C",'Mapa final'!$O$21),"")</f>
        <v/>
      </c>
      <c r="AI37" s="25" t="e">
        <f>IF(AND('Mapa final'!#REF!="Baja",'Mapa final'!#REF!="Catastrófico"),CONCATENATE("R2C",'Mapa final'!#REF!),"")</f>
        <v>#REF!</v>
      </c>
      <c r="AJ37" s="25" t="e">
        <f>IF(AND('Mapa final'!#REF!="Baja",'Mapa final'!#REF!="Catastrófico"),CONCATENATE("R2C",'Mapa final'!#REF!),"")</f>
        <v>#REF!</v>
      </c>
      <c r="AK37" s="25" t="e">
        <f>IF(AND('Mapa final'!#REF!="Baja",'Mapa final'!#REF!="Catastrófico"),CONCATENATE("R2C",'Mapa final'!#REF!),"")</f>
        <v>#REF!</v>
      </c>
      <c r="AL37" s="25" t="str">
        <f>IF(AND('Mapa final'!$Y$22="Baja",'Mapa final'!$AA$22="Catastrófico"),CONCATENATE("R2C",'Mapa final'!$O$22),"")</f>
        <v/>
      </c>
      <c r="AM37" s="26" t="str">
        <f>IF(AND('Mapa final'!$Y$23="Baja",'Mapa final'!$AA$23="Catastrófico"),CONCATENATE("R2C",'Mapa final'!$O$23),"")</f>
        <v/>
      </c>
      <c r="AN37" s="1"/>
      <c r="AO37" s="271"/>
      <c r="AP37" s="211"/>
      <c r="AQ37" s="211"/>
      <c r="AR37" s="211"/>
      <c r="AS37" s="211"/>
      <c r="AT37" s="272"/>
    </row>
    <row r="38" spans="2:46" ht="15" customHeight="1" x14ac:dyDescent="0.25">
      <c r="B38" s="288"/>
      <c r="C38" s="211"/>
      <c r="D38" s="212"/>
      <c r="E38" s="223"/>
      <c r="F38" s="211"/>
      <c r="G38" s="211"/>
      <c r="H38" s="211"/>
      <c r="I38" s="211"/>
      <c r="J38" s="45" t="str">
        <f>IF(AND('Mapa final'!$Y$26="Baja",'Mapa final'!$AA$26="Leve"),CONCATENATE("R3C",'Mapa final'!$O$26),"")</f>
        <v>R3C1</v>
      </c>
      <c r="K38" s="46" t="str">
        <f>IF(AND('Mapa final'!$Y$27="Baja",'Mapa final'!$AA$27="Leve"),CONCATENATE("R3C",'Mapa final'!$O$27),"")</f>
        <v>R3C2</v>
      </c>
      <c r="L38" s="46" t="str">
        <f>IF(AND('Mapa final'!$Y$28="Baja",'Mapa final'!$AA$28="Leve"),CONCATENATE("R3C",'Mapa final'!$O$28),"")</f>
        <v/>
      </c>
      <c r="M38" s="46" t="e">
        <f>IF(AND('Mapa final'!#REF!="Baja",'Mapa final'!#REF!="Leve"),CONCATENATE("R3C",'Mapa final'!#REF!),"")</f>
        <v>#REF!</v>
      </c>
      <c r="N38" s="46" t="e">
        <f>IF(AND('Mapa final'!#REF!="Baja",'Mapa final'!#REF!="Leve"),CONCATENATE("R3C",'Mapa final'!#REF!),"")</f>
        <v>#REF!</v>
      </c>
      <c r="O38" s="47" t="e">
        <f>IF(AND('Mapa final'!#REF!="Baja",'Mapa final'!#REF!="Leve"),CONCATENATE("R3C",'Mapa final'!#REF!),"")</f>
        <v>#REF!</v>
      </c>
      <c r="P38" s="36" t="str">
        <f>IF(AND('Mapa final'!$Y$26="Baja",'Mapa final'!$AA$26="Menor"),CONCATENATE("R3C",'Mapa final'!$O$26),"")</f>
        <v/>
      </c>
      <c r="Q38" s="37" t="str">
        <f>IF(AND('Mapa final'!$Y$27="Baja",'Mapa final'!$AA$27="Menor"),CONCATENATE("R3C",'Mapa final'!$O$27),"")</f>
        <v/>
      </c>
      <c r="R38" s="37" t="str">
        <f>IF(AND('Mapa final'!$Y$28="Baja",'Mapa final'!$AA$28="Menor"),CONCATENATE("R3C",'Mapa final'!$O$28),"")</f>
        <v/>
      </c>
      <c r="S38" s="37" t="e">
        <f>IF(AND('Mapa final'!#REF!="Baja",'Mapa final'!#REF!="Menor"),CONCATENATE("R3C",'Mapa final'!#REF!),"")</f>
        <v>#REF!</v>
      </c>
      <c r="T38" s="37" t="e">
        <f>IF(AND('Mapa final'!#REF!="Baja",'Mapa final'!#REF!="Menor"),CONCATENATE("R3C",'Mapa final'!#REF!),"")</f>
        <v>#REF!</v>
      </c>
      <c r="U38" s="38" t="e">
        <f>IF(AND('Mapa final'!#REF!="Baja",'Mapa final'!#REF!="Menor"),CONCATENATE("R3C",'Mapa final'!#REF!),"")</f>
        <v>#REF!</v>
      </c>
      <c r="V38" s="36" t="str">
        <f>IF(AND('Mapa final'!$Y$26="Baja",'Mapa final'!$AA$26="Moderado"),CONCATENATE("R3C",'Mapa final'!$O$26),"")</f>
        <v/>
      </c>
      <c r="W38" s="37" t="str">
        <f>IF(AND('Mapa final'!$Y$27="Baja",'Mapa final'!$AA$27="Moderado"),CONCATENATE("R3C",'Mapa final'!$O$27),"")</f>
        <v/>
      </c>
      <c r="X38" s="37" t="str">
        <f>IF(AND('Mapa final'!$Y$28="Baja",'Mapa final'!$AA$28="Moderado"),CONCATENATE("R3C",'Mapa final'!$O$28),"")</f>
        <v/>
      </c>
      <c r="Y38" s="37" t="e">
        <f>IF(AND('Mapa final'!#REF!="Baja",'Mapa final'!#REF!="Moderado"),CONCATENATE("R3C",'Mapa final'!#REF!),"")</f>
        <v>#REF!</v>
      </c>
      <c r="Z38" s="37" t="e">
        <f>IF(AND('Mapa final'!#REF!="Baja",'Mapa final'!#REF!="Moderado"),CONCATENATE("R3C",'Mapa final'!#REF!),"")</f>
        <v>#REF!</v>
      </c>
      <c r="AA38" s="38" t="e">
        <f>IF(AND('Mapa final'!#REF!="Baja",'Mapa final'!#REF!="Moderado"),CONCATENATE("R3C",'Mapa final'!#REF!),"")</f>
        <v>#REF!</v>
      </c>
      <c r="AB38" s="21" t="str">
        <f>IF(AND('Mapa final'!$Y$26="Baja",'Mapa final'!$AA$26="Mayor"),CONCATENATE("R3C",'Mapa final'!$O$26),"")</f>
        <v/>
      </c>
      <c r="AC38" s="22" t="str">
        <f>IF(AND('Mapa final'!$Y$27="Baja",'Mapa final'!$AA$27="Mayor"),CONCATENATE("R3C",'Mapa final'!$O$27),"")</f>
        <v/>
      </c>
      <c r="AD38" s="22" t="str">
        <f>IF(AND('Mapa final'!$Y$28="Baja",'Mapa final'!$AA$28="Mayor"),CONCATENATE("R3C",'Mapa final'!$O$28),"")</f>
        <v/>
      </c>
      <c r="AE38" s="22" t="e">
        <f>IF(AND('Mapa final'!#REF!="Baja",'Mapa final'!#REF!="Mayor"),CONCATENATE("R3C",'Mapa final'!#REF!),"")</f>
        <v>#REF!</v>
      </c>
      <c r="AF38" s="22" t="e">
        <f>IF(AND('Mapa final'!#REF!="Baja",'Mapa final'!#REF!="Mayor"),CONCATENATE("R3C",'Mapa final'!#REF!),"")</f>
        <v>#REF!</v>
      </c>
      <c r="AG38" s="23" t="e">
        <f>IF(AND('Mapa final'!#REF!="Baja",'Mapa final'!#REF!="Mayor"),CONCATENATE("R3C",'Mapa final'!#REF!),"")</f>
        <v>#REF!</v>
      </c>
      <c r="AH38" s="24" t="str">
        <f>IF(AND('Mapa final'!$Y$26="Baja",'Mapa final'!$AA$26="Catastrófico"),CONCATENATE("R3C",'Mapa final'!$O$26),"")</f>
        <v/>
      </c>
      <c r="AI38" s="25" t="str">
        <f>IF(AND('Mapa final'!$Y$27="Baja",'Mapa final'!$AA$27="Catastrófico"),CONCATENATE("R3C",'Mapa final'!$O$27),"")</f>
        <v/>
      </c>
      <c r="AJ38" s="25" t="str">
        <f>IF(AND('Mapa final'!$Y$28="Baja",'Mapa final'!$AA$28="Catastrófico"),CONCATENATE("R3C",'Mapa final'!$O$28),"")</f>
        <v/>
      </c>
      <c r="AK38" s="25" t="e">
        <f>IF(AND('Mapa final'!#REF!="Baja",'Mapa final'!#REF!="Catastrófico"),CONCATENATE("R3C",'Mapa final'!#REF!),"")</f>
        <v>#REF!</v>
      </c>
      <c r="AL38" s="25" t="e">
        <f>IF(AND('Mapa final'!#REF!="Baja",'Mapa final'!#REF!="Catastrófico"),CONCATENATE("R3C",'Mapa final'!#REF!),"")</f>
        <v>#REF!</v>
      </c>
      <c r="AM38" s="26" t="e">
        <f>IF(AND('Mapa final'!#REF!="Baja",'Mapa final'!#REF!="Catastrófico"),CONCATENATE("R3C",'Mapa final'!#REF!),"")</f>
        <v>#REF!</v>
      </c>
      <c r="AN38" s="1"/>
      <c r="AO38" s="271"/>
      <c r="AP38" s="211"/>
      <c r="AQ38" s="211"/>
      <c r="AR38" s="211"/>
      <c r="AS38" s="211"/>
      <c r="AT38" s="272"/>
    </row>
    <row r="39" spans="2:46" ht="15" customHeight="1" x14ac:dyDescent="0.25">
      <c r="B39" s="288"/>
      <c r="C39" s="211"/>
      <c r="D39" s="212"/>
      <c r="E39" s="223"/>
      <c r="F39" s="211"/>
      <c r="G39" s="211"/>
      <c r="H39" s="211"/>
      <c r="I39" s="211"/>
      <c r="J39" s="45" t="str">
        <f>IF(AND('Mapa final'!$Y$31="Baja",'Mapa final'!$AA$31="Leve"),CONCATENATE("R4C",'Mapa final'!$O$31),"")</f>
        <v/>
      </c>
      <c r="K39" s="46" t="str">
        <f>IF(AND('Mapa final'!$Y$32="Baja",'Mapa final'!$AA$32="Leve"),CONCATENATE("R4C",'Mapa final'!$O$32),"")</f>
        <v/>
      </c>
      <c r="L39" s="46" t="e">
        <f>IF(AND('Mapa final'!#REF!="Baja",'Mapa final'!#REF!="Leve"),CONCATENATE("R4C",'Mapa final'!#REF!),"")</f>
        <v>#REF!</v>
      </c>
      <c r="M39" s="46" t="str">
        <f>IF(AND('Mapa final'!$Y$33="Baja",'Mapa final'!$AA$33="Leve"),CONCATENATE("R4C",'Mapa final'!$O$33),"")</f>
        <v/>
      </c>
      <c r="N39" s="46" t="e">
        <f>IF(AND('Mapa final'!#REF!="Baja",'Mapa final'!#REF!="Leve"),CONCATENATE("R4C",'Mapa final'!#REF!),"")</f>
        <v>#REF!</v>
      </c>
      <c r="O39" s="47" t="e">
        <f>IF(AND('Mapa final'!#REF!="Baja",'Mapa final'!#REF!="Leve"),CONCATENATE("R4C",'Mapa final'!#REF!),"")</f>
        <v>#REF!</v>
      </c>
      <c r="P39" s="36" t="str">
        <f>IF(AND('Mapa final'!$Y$31="Baja",'Mapa final'!$AA$31="Menor"),CONCATENATE("R4C",'Mapa final'!$O$31),"")</f>
        <v/>
      </c>
      <c r="Q39" s="37" t="str">
        <f>IF(AND('Mapa final'!$Y$32="Baja",'Mapa final'!$AA$32="Menor"),CONCATENATE("R4C",'Mapa final'!$O$32),"")</f>
        <v/>
      </c>
      <c r="R39" s="37" t="e">
        <f>IF(AND('Mapa final'!#REF!="Baja",'Mapa final'!#REF!="Menor"),CONCATENATE("R4C",'Mapa final'!#REF!),"")</f>
        <v>#REF!</v>
      </c>
      <c r="S39" s="37" t="str">
        <f>IF(AND('Mapa final'!$Y$33="Baja",'Mapa final'!$AA$33="Menor"),CONCATENATE("R4C",'Mapa final'!$O$33),"")</f>
        <v/>
      </c>
      <c r="T39" s="37" t="e">
        <f>IF(AND('Mapa final'!#REF!="Baja",'Mapa final'!#REF!="Menor"),CONCATENATE("R4C",'Mapa final'!#REF!),"")</f>
        <v>#REF!</v>
      </c>
      <c r="U39" s="38" t="e">
        <f>IF(AND('Mapa final'!#REF!="Baja",'Mapa final'!#REF!="Menor"),CONCATENATE("R4C",'Mapa final'!#REF!),"")</f>
        <v>#REF!</v>
      </c>
      <c r="V39" s="36" t="str">
        <f>IF(AND('Mapa final'!$Y$31="Baja",'Mapa final'!$AA$31="Moderado"),CONCATENATE("R4C",'Mapa final'!$O$31),"")</f>
        <v/>
      </c>
      <c r="W39" s="37" t="str">
        <f>IF(AND('Mapa final'!$Y$32="Baja",'Mapa final'!$AA$32="Moderado"),CONCATENATE("R4C",'Mapa final'!$O$32),"")</f>
        <v/>
      </c>
      <c r="X39" s="37" t="e">
        <f>IF(AND('Mapa final'!#REF!="Baja",'Mapa final'!#REF!="Moderado"),CONCATENATE("R4C",'Mapa final'!#REF!),"")</f>
        <v>#REF!</v>
      </c>
      <c r="Y39" s="37" t="str">
        <f>IF(AND('Mapa final'!$Y$33="Baja",'Mapa final'!$AA$33="Moderado"),CONCATENATE("R4C",'Mapa final'!$O$33),"")</f>
        <v/>
      </c>
      <c r="Z39" s="37" t="e">
        <f>IF(AND('Mapa final'!#REF!="Baja",'Mapa final'!#REF!="Moderado"),CONCATENATE("R4C",'Mapa final'!#REF!),"")</f>
        <v>#REF!</v>
      </c>
      <c r="AA39" s="38" t="e">
        <f>IF(AND('Mapa final'!#REF!="Baja",'Mapa final'!#REF!="Moderado"),CONCATENATE("R4C",'Mapa final'!#REF!),"")</f>
        <v>#REF!</v>
      </c>
      <c r="AB39" s="21" t="str">
        <f>IF(AND('Mapa final'!$Y$31="Baja",'Mapa final'!$AA$31="Mayor"),CONCATENATE("R4C",'Mapa final'!$O$31),"")</f>
        <v/>
      </c>
      <c r="AC39" s="22" t="str">
        <f>IF(AND('Mapa final'!$Y$32="Baja",'Mapa final'!$AA$32="Mayor"),CONCATENATE("R4C",'Mapa final'!$O$32),"")</f>
        <v/>
      </c>
      <c r="AD39" s="22" t="e">
        <f>IF(AND('Mapa final'!#REF!="Baja",'Mapa final'!#REF!="Mayor"),CONCATENATE("R4C",'Mapa final'!#REF!),"")</f>
        <v>#REF!</v>
      </c>
      <c r="AE39" s="22" t="str">
        <f>IF(AND('Mapa final'!$Y$33="Baja",'Mapa final'!$AA$33="Mayor"),CONCATENATE("R4C",'Mapa final'!$O$33),"")</f>
        <v/>
      </c>
      <c r="AF39" s="22" t="e">
        <f>IF(AND('Mapa final'!#REF!="Baja",'Mapa final'!#REF!="Mayor"),CONCATENATE("R4C",'Mapa final'!#REF!),"")</f>
        <v>#REF!</v>
      </c>
      <c r="AG39" s="23" t="e">
        <f>IF(AND('Mapa final'!#REF!="Baja",'Mapa final'!#REF!="Mayor"),CONCATENATE("R4C",'Mapa final'!#REF!),"")</f>
        <v>#REF!</v>
      </c>
      <c r="AH39" s="24" t="str">
        <f>IF(AND('Mapa final'!$Y$31="Baja",'Mapa final'!$AA$31="Catastrófico"),CONCATENATE("R4C",'Mapa final'!$O$31),"")</f>
        <v/>
      </c>
      <c r="AI39" s="25" t="str">
        <f>IF(AND('Mapa final'!$Y$32="Baja",'Mapa final'!$AA$32="Catastrófico"),CONCATENATE("R4C",'Mapa final'!$O$32),"")</f>
        <v/>
      </c>
      <c r="AJ39" s="25" t="e">
        <f>IF(AND('Mapa final'!#REF!="Baja",'Mapa final'!#REF!="Catastrófico"),CONCATENATE("R4C",'Mapa final'!#REF!),"")</f>
        <v>#REF!</v>
      </c>
      <c r="AK39" s="25" t="str">
        <f>IF(AND('Mapa final'!$Y$33="Baja",'Mapa final'!$AA$33="Catastrófico"),CONCATENATE("R4C",'Mapa final'!$O$33),"")</f>
        <v/>
      </c>
      <c r="AL39" s="25" t="e">
        <f>IF(AND('Mapa final'!#REF!="Baja",'Mapa final'!#REF!="Catastrófico"),CONCATENATE("R4C",'Mapa final'!#REF!),"")</f>
        <v>#REF!</v>
      </c>
      <c r="AM39" s="26" t="e">
        <f>IF(AND('Mapa final'!#REF!="Baja",'Mapa final'!#REF!="Catastrófico"),CONCATENATE("R4C",'Mapa final'!#REF!),"")</f>
        <v>#REF!</v>
      </c>
      <c r="AN39" s="1"/>
      <c r="AO39" s="271"/>
      <c r="AP39" s="211"/>
      <c r="AQ39" s="211"/>
      <c r="AR39" s="211"/>
      <c r="AS39" s="211"/>
      <c r="AT39" s="272"/>
    </row>
    <row r="40" spans="2:46" ht="15" customHeight="1" x14ac:dyDescent="0.25">
      <c r="B40" s="288"/>
      <c r="C40" s="211"/>
      <c r="D40" s="212"/>
      <c r="E40" s="223"/>
      <c r="F40" s="211"/>
      <c r="G40" s="211"/>
      <c r="H40" s="211"/>
      <c r="I40" s="211"/>
      <c r="J40" s="45" t="str">
        <f>IF(AND('Mapa final'!$Y$36="Baja",'Mapa final'!$AA$36="Leve"),CONCATENATE("R5C",'Mapa final'!$O$36),"")</f>
        <v/>
      </c>
      <c r="K40" s="46" t="str">
        <f>IF(AND('Mapa final'!$Y$37="Baja",'Mapa final'!$AA$37="Leve"),CONCATENATE("R5C",'Mapa final'!$O$37),"")</f>
        <v/>
      </c>
      <c r="L40" s="46" t="str">
        <f>IF(AND('Mapa final'!$Y$38="Baja",'Mapa final'!$AA$38="Leve"),CONCATENATE("R5C",'Mapa final'!$O$38),"")</f>
        <v/>
      </c>
      <c r="M40" s="46" t="e">
        <f>IF(AND('Mapa final'!#REF!="Baja",'Mapa final'!#REF!="Leve"),CONCATENATE("R5C",'Mapa final'!#REF!),"")</f>
        <v>#REF!</v>
      </c>
      <c r="N40" s="46" t="e">
        <f>IF(AND('Mapa final'!#REF!="Baja",'Mapa final'!#REF!="Leve"),CONCATENATE("R5C",'Mapa final'!#REF!),"")</f>
        <v>#REF!</v>
      </c>
      <c r="O40" s="47" t="e">
        <f>IF(AND('Mapa final'!#REF!="Baja",'Mapa final'!#REF!="Leve"),CONCATENATE("R5C",'Mapa final'!#REF!),"")</f>
        <v>#REF!</v>
      </c>
      <c r="P40" s="36" t="str">
        <f>IF(AND('Mapa final'!$Y$36="Baja",'Mapa final'!$AA$36="Menor"),CONCATENATE("R5C",'Mapa final'!$O$36),"")</f>
        <v/>
      </c>
      <c r="Q40" s="37" t="str">
        <f>IF(AND('Mapa final'!$Y$37="Baja",'Mapa final'!$AA$37="Menor"),CONCATENATE("R5C",'Mapa final'!$O$37),"")</f>
        <v/>
      </c>
      <c r="R40" s="37" t="str">
        <f>IF(AND('Mapa final'!$Y$38="Baja",'Mapa final'!$AA$38="Menor"),CONCATENATE("R5C",'Mapa final'!$O$38),"")</f>
        <v/>
      </c>
      <c r="S40" s="37" t="e">
        <f>IF(AND('Mapa final'!#REF!="Baja",'Mapa final'!#REF!="Menor"),CONCATENATE("R5C",'Mapa final'!#REF!),"")</f>
        <v>#REF!</v>
      </c>
      <c r="T40" s="37" t="e">
        <f>IF(AND('Mapa final'!#REF!="Baja",'Mapa final'!#REF!="Menor"),CONCATENATE("R5C",'Mapa final'!#REF!),"")</f>
        <v>#REF!</v>
      </c>
      <c r="U40" s="38" t="e">
        <f>IF(AND('Mapa final'!#REF!="Baja",'Mapa final'!#REF!="Menor"),CONCATENATE("R5C",'Mapa final'!#REF!),"")</f>
        <v>#REF!</v>
      </c>
      <c r="V40" s="36" t="str">
        <f>IF(AND('Mapa final'!$Y$36="Baja",'Mapa final'!$AA$36="Moderado"),CONCATENATE("R5C",'Mapa final'!$O$36),"")</f>
        <v/>
      </c>
      <c r="W40" s="37" t="str">
        <f>IF(AND('Mapa final'!$Y$37="Baja",'Mapa final'!$AA$37="Moderado"),CONCATENATE("R5C",'Mapa final'!$O$37),"")</f>
        <v/>
      </c>
      <c r="X40" s="37" t="str">
        <f>IF(AND('Mapa final'!$Y$38="Baja",'Mapa final'!$AA$38="Moderado"),CONCATENATE("R5C",'Mapa final'!$O$38),"")</f>
        <v/>
      </c>
      <c r="Y40" s="37" t="e">
        <f>IF(AND('Mapa final'!#REF!="Baja",'Mapa final'!#REF!="Moderado"),CONCATENATE("R5C",'Mapa final'!#REF!),"")</f>
        <v>#REF!</v>
      </c>
      <c r="Z40" s="37" t="e">
        <f>IF(AND('Mapa final'!#REF!="Baja",'Mapa final'!#REF!="Moderado"),CONCATENATE("R5C",'Mapa final'!#REF!),"")</f>
        <v>#REF!</v>
      </c>
      <c r="AA40" s="38" t="e">
        <f>IF(AND('Mapa final'!#REF!="Baja",'Mapa final'!#REF!="Moderado"),CONCATENATE("R5C",'Mapa final'!#REF!),"")</f>
        <v>#REF!</v>
      </c>
      <c r="AB40" s="21" t="str">
        <f>IF(AND('Mapa final'!$Y$36="Baja",'Mapa final'!$AA$36="Mayor"),CONCATENATE("R5C",'Mapa final'!$O$36),"")</f>
        <v/>
      </c>
      <c r="AC40" s="22" t="str">
        <f>IF(AND('Mapa final'!$Y$37="Baja",'Mapa final'!$AA$37="Mayor"),CONCATENATE("R5C",'Mapa final'!$O$37),"")</f>
        <v/>
      </c>
      <c r="AD40" s="22" t="str">
        <f>IF(AND('Mapa final'!$Y$38="Baja",'Mapa final'!$AA$38="Mayor"),CONCATENATE("R5C",'Mapa final'!$O$38),"")</f>
        <v/>
      </c>
      <c r="AE40" s="22" t="e">
        <f>IF(AND('Mapa final'!#REF!="Baja",'Mapa final'!#REF!="Mayor"),CONCATENATE("R5C",'Mapa final'!#REF!),"")</f>
        <v>#REF!</v>
      </c>
      <c r="AF40" s="22" t="e">
        <f>IF(AND('Mapa final'!#REF!="Baja",'Mapa final'!#REF!="Mayor"),CONCATENATE("R5C",'Mapa final'!#REF!),"")</f>
        <v>#REF!</v>
      </c>
      <c r="AG40" s="23" t="e">
        <f>IF(AND('Mapa final'!#REF!="Baja",'Mapa final'!#REF!="Mayor"),CONCATENATE("R5C",'Mapa final'!#REF!),"")</f>
        <v>#REF!</v>
      </c>
      <c r="AH40" s="24" t="str">
        <f>IF(AND('Mapa final'!$Y$36="Baja",'Mapa final'!$AA$36="Catastrófico"),CONCATENATE("R5C",'Mapa final'!$O$36),"")</f>
        <v/>
      </c>
      <c r="AI40" s="25" t="str">
        <f>IF(AND('Mapa final'!$Y$37="Baja",'Mapa final'!$AA$37="Catastrófico"),CONCATENATE("R5C",'Mapa final'!$O$37),"")</f>
        <v/>
      </c>
      <c r="AJ40" s="25" t="str">
        <f>IF(AND('Mapa final'!$Y$38="Baja",'Mapa final'!$AA$38="Catastrófico"),CONCATENATE("R5C",'Mapa final'!$O$38),"")</f>
        <v/>
      </c>
      <c r="AK40" s="25" t="e">
        <f>IF(AND('Mapa final'!#REF!="Baja",'Mapa final'!#REF!="Catastrófico"),CONCATENATE("R5C",'Mapa final'!#REF!),"")</f>
        <v>#REF!</v>
      </c>
      <c r="AL40" s="25" t="e">
        <f>IF(AND('Mapa final'!#REF!="Baja",'Mapa final'!#REF!="Catastrófico"),CONCATENATE("R5C",'Mapa final'!#REF!),"")</f>
        <v>#REF!</v>
      </c>
      <c r="AM40" s="26" t="e">
        <f>IF(AND('Mapa final'!#REF!="Baja",'Mapa final'!#REF!="Catastrófico"),CONCATENATE("R5C",'Mapa final'!#REF!),"")</f>
        <v>#REF!</v>
      </c>
      <c r="AN40" s="1"/>
      <c r="AO40" s="271"/>
      <c r="AP40" s="211"/>
      <c r="AQ40" s="211"/>
      <c r="AR40" s="211"/>
      <c r="AS40" s="211"/>
      <c r="AT40" s="272"/>
    </row>
    <row r="41" spans="2:46" ht="15" customHeight="1" x14ac:dyDescent="0.25">
      <c r="B41" s="288"/>
      <c r="C41" s="211"/>
      <c r="D41" s="212"/>
      <c r="E41" s="223"/>
      <c r="F41" s="211"/>
      <c r="G41" s="211"/>
      <c r="H41" s="211"/>
      <c r="I41" s="211"/>
      <c r="J41" s="45" t="str">
        <f>IF(AND('Mapa final'!$Y$41="Baja",'Mapa final'!$AA$41="Leve"),CONCATENATE("R6C",'Mapa final'!$O$41),"")</f>
        <v/>
      </c>
      <c r="K41" s="46" t="str">
        <f>IF(AND('Mapa final'!$Y$42="Baja",'Mapa final'!$AA$42="Leve"),CONCATENATE("R6C",'Mapa final'!$O$42),"")</f>
        <v/>
      </c>
      <c r="L41" s="46" t="str">
        <f>IF(AND('Mapa final'!$Y$43="Baja",'Mapa final'!$AA$43="Leve"),CONCATENATE("R6C",'Mapa final'!$O$43),"")</f>
        <v/>
      </c>
      <c r="M41" s="46" t="e">
        <f>IF(AND('Mapa final'!#REF!="Baja",'Mapa final'!#REF!="Leve"),CONCATENATE("R6C",'Mapa final'!#REF!),"")</f>
        <v>#REF!</v>
      </c>
      <c r="N41" s="46" t="e">
        <f>IF(AND('Mapa final'!#REF!="Baja",'Mapa final'!#REF!="Leve"),CONCATENATE("R6C",'Mapa final'!#REF!),"")</f>
        <v>#REF!</v>
      </c>
      <c r="O41" s="47" t="e">
        <f>IF(AND('Mapa final'!#REF!="Baja",'Mapa final'!#REF!="Leve"),CONCATENATE("R6C",'Mapa final'!#REF!),"")</f>
        <v>#REF!</v>
      </c>
      <c r="P41" s="36" t="str">
        <f>IF(AND('Mapa final'!$Y$41="Baja",'Mapa final'!$AA$41="Menor"),CONCATENATE("R6C",'Mapa final'!$O$41),"")</f>
        <v/>
      </c>
      <c r="Q41" s="37" t="str">
        <f>IF(AND('Mapa final'!$Y$42="Baja",'Mapa final'!$AA$42="Menor"),CONCATENATE("R6C",'Mapa final'!$O$42),"")</f>
        <v/>
      </c>
      <c r="R41" s="37" t="str">
        <f>IF(AND('Mapa final'!$Y$43="Baja",'Mapa final'!$AA$43="Menor"),CONCATENATE("R6C",'Mapa final'!$O$43),"")</f>
        <v/>
      </c>
      <c r="S41" s="37" t="e">
        <f>IF(AND('Mapa final'!#REF!="Baja",'Mapa final'!#REF!="Menor"),CONCATENATE("R6C",'Mapa final'!#REF!),"")</f>
        <v>#REF!</v>
      </c>
      <c r="T41" s="37" t="e">
        <f>IF(AND('Mapa final'!#REF!="Baja",'Mapa final'!#REF!="Menor"),CONCATENATE("R6C",'Mapa final'!#REF!),"")</f>
        <v>#REF!</v>
      </c>
      <c r="U41" s="38" t="e">
        <f>IF(AND('Mapa final'!#REF!="Baja",'Mapa final'!#REF!="Menor"),CONCATENATE("R6C",'Mapa final'!#REF!),"")</f>
        <v>#REF!</v>
      </c>
      <c r="V41" s="36" t="str">
        <f>IF(AND('Mapa final'!$Y$41="Baja",'Mapa final'!$AA$41="Moderado"),CONCATENATE("R6C",'Mapa final'!$O$41),"")</f>
        <v/>
      </c>
      <c r="W41" s="37" t="str">
        <f>IF(AND('Mapa final'!$Y$42="Baja",'Mapa final'!$AA$42="Moderado"),CONCATENATE("R6C",'Mapa final'!$O$42),"")</f>
        <v/>
      </c>
      <c r="X41" s="37" t="str">
        <f>IF(AND('Mapa final'!$Y$43="Baja",'Mapa final'!$AA$43="Moderado"),CONCATENATE("R6C",'Mapa final'!$O$43),"")</f>
        <v/>
      </c>
      <c r="Y41" s="37" t="e">
        <f>IF(AND('Mapa final'!#REF!="Baja",'Mapa final'!#REF!="Moderado"),CONCATENATE("R6C",'Mapa final'!#REF!),"")</f>
        <v>#REF!</v>
      </c>
      <c r="Z41" s="37" t="e">
        <f>IF(AND('Mapa final'!#REF!="Baja",'Mapa final'!#REF!="Moderado"),CONCATENATE("R6C",'Mapa final'!#REF!),"")</f>
        <v>#REF!</v>
      </c>
      <c r="AA41" s="38" t="e">
        <f>IF(AND('Mapa final'!#REF!="Baja",'Mapa final'!#REF!="Moderado"),CONCATENATE("R6C",'Mapa final'!#REF!),"")</f>
        <v>#REF!</v>
      </c>
      <c r="AB41" s="21" t="str">
        <f>IF(AND('Mapa final'!$Y$41="Baja",'Mapa final'!$AA$41="Mayor"),CONCATENATE("R6C",'Mapa final'!$O$41),"")</f>
        <v/>
      </c>
      <c r="AC41" s="22" t="str">
        <f>IF(AND('Mapa final'!$Y$42="Baja",'Mapa final'!$AA$42="Mayor"),CONCATENATE("R6C",'Mapa final'!$O$42),"")</f>
        <v/>
      </c>
      <c r="AD41" s="22" t="str">
        <f>IF(AND('Mapa final'!$Y$43="Baja",'Mapa final'!$AA$43="Mayor"),CONCATENATE("R6C",'Mapa final'!$O$43),"")</f>
        <v/>
      </c>
      <c r="AE41" s="22" t="e">
        <f>IF(AND('Mapa final'!#REF!="Baja",'Mapa final'!#REF!="Mayor"),CONCATENATE("R6C",'Mapa final'!#REF!),"")</f>
        <v>#REF!</v>
      </c>
      <c r="AF41" s="22" t="e">
        <f>IF(AND('Mapa final'!#REF!="Baja",'Mapa final'!#REF!="Mayor"),CONCATENATE("R6C",'Mapa final'!#REF!),"")</f>
        <v>#REF!</v>
      </c>
      <c r="AG41" s="23" t="e">
        <f>IF(AND('Mapa final'!#REF!="Baja",'Mapa final'!#REF!="Mayor"),CONCATENATE("R6C",'Mapa final'!#REF!),"")</f>
        <v>#REF!</v>
      </c>
      <c r="AH41" s="24" t="str">
        <f>IF(AND('Mapa final'!$Y$41="Baja",'Mapa final'!$AA$41="Catastrófico"),CONCATENATE("R6C",'Mapa final'!$O$41),"")</f>
        <v/>
      </c>
      <c r="AI41" s="25" t="str">
        <f>IF(AND('Mapa final'!$Y$42="Baja",'Mapa final'!$AA$42="Catastrófico"),CONCATENATE("R6C",'Mapa final'!$O$42),"")</f>
        <v/>
      </c>
      <c r="AJ41" s="25" t="str">
        <f>IF(AND('Mapa final'!$Y$43="Baja",'Mapa final'!$AA$43="Catastrófico"),CONCATENATE("R6C",'Mapa final'!$O$43),"")</f>
        <v/>
      </c>
      <c r="AK41" s="25" t="e">
        <f>IF(AND('Mapa final'!#REF!="Baja",'Mapa final'!#REF!="Catastrófico"),CONCATENATE("R6C",'Mapa final'!#REF!),"")</f>
        <v>#REF!</v>
      </c>
      <c r="AL41" s="25" t="e">
        <f>IF(AND('Mapa final'!#REF!="Baja",'Mapa final'!#REF!="Catastrófico"),CONCATENATE("R6C",'Mapa final'!#REF!),"")</f>
        <v>#REF!</v>
      </c>
      <c r="AM41" s="26" t="e">
        <f>IF(AND('Mapa final'!#REF!="Baja",'Mapa final'!#REF!="Catastrófico"),CONCATENATE("R6C",'Mapa final'!#REF!),"")</f>
        <v>#REF!</v>
      </c>
      <c r="AN41" s="1"/>
      <c r="AO41" s="271"/>
      <c r="AP41" s="211"/>
      <c r="AQ41" s="211"/>
      <c r="AR41" s="211"/>
      <c r="AS41" s="211"/>
      <c r="AT41" s="272"/>
    </row>
    <row r="42" spans="2:46" ht="15" customHeight="1" x14ac:dyDescent="0.25">
      <c r="B42" s="288"/>
      <c r="C42" s="211"/>
      <c r="D42" s="212"/>
      <c r="E42" s="223"/>
      <c r="F42" s="211"/>
      <c r="G42" s="211"/>
      <c r="H42" s="211"/>
      <c r="I42" s="211"/>
      <c r="J42" s="45" t="e">
        <f>IF(AND('Mapa final'!#REF!="Baja",'Mapa final'!#REF!="Leve"),CONCATENATE("R7C",'Mapa final'!#REF!),"")</f>
        <v>#REF!</v>
      </c>
      <c r="K42" s="46" t="e">
        <f>IF(AND('Mapa final'!#REF!="Baja",'Mapa final'!#REF!="Leve"),CONCATENATE("R7C",'Mapa final'!#REF!),"")</f>
        <v>#REF!</v>
      </c>
      <c r="L42" s="46" t="e">
        <f>IF(AND('Mapa final'!#REF!="Baja",'Mapa final'!#REF!="Leve"),CONCATENATE("R7C",'Mapa final'!#REF!),"")</f>
        <v>#REF!</v>
      </c>
      <c r="M42" s="46" t="e">
        <f>IF(AND('Mapa final'!#REF!="Baja",'Mapa final'!#REF!="Leve"),CONCATENATE("R7C",'Mapa final'!#REF!),"")</f>
        <v>#REF!</v>
      </c>
      <c r="N42" s="46" t="e">
        <f>IF(AND('Mapa final'!#REF!="Baja",'Mapa final'!#REF!="Leve"),CONCATENATE("R7C",'Mapa final'!#REF!),"")</f>
        <v>#REF!</v>
      </c>
      <c r="O42" s="47" t="e">
        <f>IF(AND('Mapa final'!#REF!="Baja",'Mapa final'!#REF!="Leve"),CONCATENATE("R7C",'Mapa final'!#REF!),"")</f>
        <v>#REF!</v>
      </c>
      <c r="P42" s="36" t="e">
        <f>IF(AND('Mapa final'!#REF!="Baja",'Mapa final'!#REF!="Menor"),CONCATENATE("R7C",'Mapa final'!#REF!),"")</f>
        <v>#REF!</v>
      </c>
      <c r="Q42" s="37" t="e">
        <f>IF(AND('Mapa final'!#REF!="Baja",'Mapa final'!#REF!="Menor"),CONCATENATE("R7C",'Mapa final'!#REF!),"")</f>
        <v>#REF!</v>
      </c>
      <c r="R42" s="37" t="e">
        <f>IF(AND('Mapa final'!#REF!="Baja",'Mapa final'!#REF!="Menor"),CONCATENATE("R7C",'Mapa final'!#REF!),"")</f>
        <v>#REF!</v>
      </c>
      <c r="S42" s="37" t="e">
        <f>IF(AND('Mapa final'!#REF!="Baja",'Mapa final'!#REF!="Menor"),CONCATENATE("R7C",'Mapa final'!#REF!),"")</f>
        <v>#REF!</v>
      </c>
      <c r="T42" s="37" t="e">
        <f>IF(AND('Mapa final'!#REF!="Baja",'Mapa final'!#REF!="Menor"),CONCATENATE("R7C",'Mapa final'!#REF!),"")</f>
        <v>#REF!</v>
      </c>
      <c r="U42" s="38" t="e">
        <f>IF(AND('Mapa final'!#REF!="Baja",'Mapa final'!#REF!="Menor"),CONCATENATE("R7C",'Mapa final'!#REF!),"")</f>
        <v>#REF!</v>
      </c>
      <c r="V42" s="36" t="e">
        <f>IF(AND('Mapa final'!#REF!="Baja",'Mapa final'!#REF!="Moderado"),CONCATENATE("R7C",'Mapa final'!#REF!),"")</f>
        <v>#REF!</v>
      </c>
      <c r="W42" s="37" t="e">
        <f>IF(AND('Mapa final'!#REF!="Baja",'Mapa final'!#REF!="Moderado"),CONCATENATE("R7C",'Mapa final'!#REF!),"")</f>
        <v>#REF!</v>
      </c>
      <c r="X42" s="37" t="e">
        <f>IF(AND('Mapa final'!#REF!="Baja",'Mapa final'!#REF!="Moderado"),CONCATENATE("R7C",'Mapa final'!#REF!),"")</f>
        <v>#REF!</v>
      </c>
      <c r="Y42" s="37" t="e">
        <f>IF(AND('Mapa final'!#REF!="Baja",'Mapa final'!#REF!="Moderado"),CONCATENATE("R7C",'Mapa final'!#REF!),"")</f>
        <v>#REF!</v>
      </c>
      <c r="Z42" s="37" t="e">
        <f>IF(AND('Mapa final'!#REF!="Baja",'Mapa final'!#REF!="Moderado"),CONCATENATE("R7C",'Mapa final'!#REF!),"")</f>
        <v>#REF!</v>
      </c>
      <c r="AA42" s="38" t="e">
        <f>IF(AND('Mapa final'!#REF!="Baja",'Mapa final'!#REF!="Moderado"),CONCATENATE("R7C",'Mapa final'!#REF!),"")</f>
        <v>#REF!</v>
      </c>
      <c r="AB42" s="21" t="e">
        <f>IF(AND('Mapa final'!#REF!="Baja",'Mapa final'!#REF!="Mayor"),CONCATENATE("R7C",'Mapa final'!#REF!),"")</f>
        <v>#REF!</v>
      </c>
      <c r="AC42" s="22" t="e">
        <f>IF(AND('Mapa final'!#REF!="Baja",'Mapa final'!#REF!="Mayor"),CONCATENATE("R7C",'Mapa final'!#REF!),"")</f>
        <v>#REF!</v>
      </c>
      <c r="AD42" s="22" t="e">
        <f>IF(AND('Mapa final'!#REF!="Baja",'Mapa final'!#REF!="Mayor"),CONCATENATE("R7C",'Mapa final'!#REF!),"")</f>
        <v>#REF!</v>
      </c>
      <c r="AE42" s="22" t="e">
        <f>IF(AND('Mapa final'!#REF!="Baja",'Mapa final'!#REF!="Mayor"),CONCATENATE("R7C",'Mapa final'!#REF!),"")</f>
        <v>#REF!</v>
      </c>
      <c r="AF42" s="22" t="e">
        <f>IF(AND('Mapa final'!#REF!="Baja",'Mapa final'!#REF!="Mayor"),CONCATENATE("R7C",'Mapa final'!#REF!),"")</f>
        <v>#REF!</v>
      </c>
      <c r="AG42" s="23" t="e">
        <f>IF(AND('Mapa final'!#REF!="Baja",'Mapa final'!#REF!="Mayor"),CONCATENATE("R7C",'Mapa final'!#REF!),"")</f>
        <v>#REF!</v>
      </c>
      <c r="AH42" s="24" t="e">
        <f>IF(AND('Mapa final'!#REF!="Baja",'Mapa final'!#REF!="Catastrófico"),CONCATENATE("R7C",'Mapa final'!#REF!),"")</f>
        <v>#REF!</v>
      </c>
      <c r="AI42" s="25" t="e">
        <f>IF(AND('Mapa final'!#REF!="Baja",'Mapa final'!#REF!="Catastrófico"),CONCATENATE("R7C",'Mapa final'!#REF!),"")</f>
        <v>#REF!</v>
      </c>
      <c r="AJ42" s="25" t="e">
        <f>IF(AND('Mapa final'!#REF!="Baja",'Mapa final'!#REF!="Catastrófico"),CONCATENATE("R7C",'Mapa final'!#REF!),"")</f>
        <v>#REF!</v>
      </c>
      <c r="AK42" s="25" t="e">
        <f>IF(AND('Mapa final'!#REF!="Baja",'Mapa final'!#REF!="Catastrófico"),CONCATENATE("R7C",'Mapa final'!#REF!),"")</f>
        <v>#REF!</v>
      </c>
      <c r="AL42" s="25" t="e">
        <f>IF(AND('Mapa final'!#REF!="Baja",'Mapa final'!#REF!="Catastrófico"),CONCATENATE("R7C",'Mapa final'!#REF!),"")</f>
        <v>#REF!</v>
      </c>
      <c r="AM42" s="26" t="e">
        <f>IF(AND('Mapa final'!#REF!="Baja",'Mapa final'!#REF!="Catastrófico"),CONCATENATE("R7C",'Mapa final'!#REF!),"")</f>
        <v>#REF!</v>
      </c>
      <c r="AN42" s="1"/>
      <c r="AO42" s="271"/>
      <c r="AP42" s="211"/>
      <c r="AQ42" s="211"/>
      <c r="AR42" s="211"/>
      <c r="AS42" s="211"/>
      <c r="AT42" s="272"/>
    </row>
    <row r="43" spans="2:46" ht="15" customHeight="1" x14ac:dyDescent="0.25">
      <c r="B43" s="288"/>
      <c r="C43" s="211"/>
      <c r="D43" s="212"/>
      <c r="E43" s="223"/>
      <c r="F43" s="211"/>
      <c r="G43" s="211"/>
      <c r="H43" s="211"/>
      <c r="I43" s="211"/>
      <c r="J43" s="45" t="e">
        <f>IF(AND('Mapa final'!#REF!="Baja",'Mapa final'!#REF!="Leve"),CONCATENATE("R8C",'Mapa final'!#REF!),"")</f>
        <v>#REF!</v>
      </c>
      <c r="K43" s="46" t="e">
        <f>IF(AND('Mapa final'!#REF!="Baja",'Mapa final'!#REF!="Leve"),CONCATENATE("R8C",'Mapa final'!#REF!),"")</f>
        <v>#REF!</v>
      </c>
      <c r="L43" s="46" t="e">
        <f>IF(AND('Mapa final'!#REF!="Baja",'Mapa final'!#REF!="Leve"),CONCATENATE("R8C",'Mapa final'!#REF!),"")</f>
        <v>#REF!</v>
      </c>
      <c r="M43" s="46" t="e">
        <f>IF(AND('Mapa final'!#REF!="Baja",'Mapa final'!#REF!="Leve"),CONCATENATE("R8C",'Mapa final'!#REF!),"")</f>
        <v>#REF!</v>
      </c>
      <c r="N43" s="46" t="e">
        <f>IF(AND('Mapa final'!#REF!="Baja",'Mapa final'!#REF!="Leve"),CONCATENATE("R8C",'Mapa final'!#REF!),"")</f>
        <v>#REF!</v>
      </c>
      <c r="O43" s="47" t="e">
        <f>IF(AND('Mapa final'!#REF!="Baja",'Mapa final'!#REF!="Leve"),CONCATENATE("R8C",'Mapa final'!#REF!),"")</f>
        <v>#REF!</v>
      </c>
      <c r="P43" s="36" t="e">
        <f>IF(AND('Mapa final'!#REF!="Baja",'Mapa final'!#REF!="Menor"),CONCATENATE("R8C",'Mapa final'!#REF!),"")</f>
        <v>#REF!</v>
      </c>
      <c r="Q43" s="37" t="e">
        <f>IF(AND('Mapa final'!#REF!="Baja",'Mapa final'!#REF!="Menor"),CONCATENATE("R8C",'Mapa final'!#REF!),"")</f>
        <v>#REF!</v>
      </c>
      <c r="R43" s="37" t="e">
        <f>IF(AND('Mapa final'!#REF!="Baja",'Mapa final'!#REF!="Menor"),CONCATENATE("R8C",'Mapa final'!#REF!),"")</f>
        <v>#REF!</v>
      </c>
      <c r="S43" s="37" t="e">
        <f>IF(AND('Mapa final'!#REF!="Baja",'Mapa final'!#REF!="Menor"),CONCATENATE("R8C",'Mapa final'!#REF!),"")</f>
        <v>#REF!</v>
      </c>
      <c r="T43" s="37" t="e">
        <f>IF(AND('Mapa final'!#REF!="Baja",'Mapa final'!#REF!="Menor"),CONCATENATE("R8C",'Mapa final'!#REF!),"")</f>
        <v>#REF!</v>
      </c>
      <c r="U43" s="38" t="e">
        <f>IF(AND('Mapa final'!#REF!="Baja",'Mapa final'!#REF!="Menor"),CONCATENATE("R8C",'Mapa final'!#REF!),"")</f>
        <v>#REF!</v>
      </c>
      <c r="V43" s="36" t="e">
        <f>IF(AND('Mapa final'!#REF!="Baja",'Mapa final'!#REF!="Moderado"),CONCATENATE("R8C",'Mapa final'!#REF!),"")</f>
        <v>#REF!</v>
      </c>
      <c r="W43" s="37" t="e">
        <f>IF(AND('Mapa final'!#REF!="Baja",'Mapa final'!#REF!="Moderado"),CONCATENATE("R8C",'Mapa final'!#REF!),"")</f>
        <v>#REF!</v>
      </c>
      <c r="X43" s="37" t="e">
        <f>IF(AND('Mapa final'!#REF!="Baja",'Mapa final'!#REF!="Moderado"),CONCATENATE("R8C",'Mapa final'!#REF!),"")</f>
        <v>#REF!</v>
      </c>
      <c r="Y43" s="37" t="e">
        <f>IF(AND('Mapa final'!#REF!="Baja",'Mapa final'!#REF!="Moderado"),CONCATENATE("R8C",'Mapa final'!#REF!),"")</f>
        <v>#REF!</v>
      </c>
      <c r="Z43" s="37" t="e">
        <f>IF(AND('Mapa final'!#REF!="Baja",'Mapa final'!#REF!="Moderado"),CONCATENATE("R8C",'Mapa final'!#REF!),"")</f>
        <v>#REF!</v>
      </c>
      <c r="AA43" s="38" t="e">
        <f>IF(AND('Mapa final'!#REF!="Baja",'Mapa final'!#REF!="Moderado"),CONCATENATE("R8C",'Mapa final'!#REF!),"")</f>
        <v>#REF!</v>
      </c>
      <c r="AB43" s="21" t="e">
        <f>IF(AND('Mapa final'!#REF!="Baja",'Mapa final'!#REF!="Mayor"),CONCATENATE("R8C",'Mapa final'!#REF!),"")</f>
        <v>#REF!</v>
      </c>
      <c r="AC43" s="22" t="e">
        <f>IF(AND('Mapa final'!#REF!="Baja",'Mapa final'!#REF!="Mayor"),CONCATENATE("R8C",'Mapa final'!#REF!),"")</f>
        <v>#REF!</v>
      </c>
      <c r="AD43" s="22" t="e">
        <f>IF(AND('Mapa final'!#REF!="Baja",'Mapa final'!#REF!="Mayor"),CONCATENATE("R8C",'Mapa final'!#REF!),"")</f>
        <v>#REF!</v>
      </c>
      <c r="AE43" s="22" t="e">
        <f>IF(AND('Mapa final'!#REF!="Baja",'Mapa final'!#REF!="Mayor"),CONCATENATE("R8C",'Mapa final'!#REF!),"")</f>
        <v>#REF!</v>
      </c>
      <c r="AF43" s="22" t="e">
        <f>IF(AND('Mapa final'!#REF!="Baja",'Mapa final'!#REF!="Mayor"),CONCATENATE("R8C",'Mapa final'!#REF!),"")</f>
        <v>#REF!</v>
      </c>
      <c r="AG43" s="23" t="e">
        <f>IF(AND('Mapa final'!#REF!="Baja",'Mapa final'!#REF!="Mayor"),CONCATENATE("R8C",'Mapa final'!#REF!),"")</f>
        <v>#REF!</v>
      </c>
      <c r="AH43" s="24" t="e">
        <f>IF(AND('Mapa final'!#REF!="Baja",'Mapa final'!#REF!="Catastrófico"),CONCATENATE("R8C",'Mapa final'!#REF!),"")</f>
        <v>#REF!</v>
      </c>
      <c r="AI43" s="25" t="e">
        <f>IF(AND('Mapa final'!#REF!="Baja",'Mapa final'!#REF!="Catastrófico"),CONCATENATE("R8C",'Mapa final'!#REF!),"")</f>
        <v>#REF!</v>
      </c>
      <c r="AJ43" s="25" t="e">
        <f>IF(AND('Mapa final'!#REF!="Baja",'Mapa final'!#REF!="Catastrófico"),CONCATENATE("R8C",'Mapa final'!#REF!),"")</f>
        <v>#REF!</v>
      </c>
      <c r="AK43" s="25" t="e">
        <f>IF(AND('Mapa final'!#REF!="Baja",'Mapa final'!#REF!="Catastrófico"),CONCATENATE("R8C",'Mapa final'!#REF!),"")</f>
        <v>#REF!</v>
      </c>
      <c r="AL43" s="25" t="e">
        <f>IF(AND('Mapa final'!#REF!="Baja",'Mapa final'!#REF!="Catastrófico"),CONCATENATE("R8C",'Mapa final'!#REF!),"")</f>
        <v>#REF!</v>
      </c>
      <c r="AM43" s="26" t="e">
        <f>IF(AND('Mapa final'!#REF!="Baja",'Mapa final'!#REF!="Catastrófico"),CONCATENATE("R8C",'Mapa final'!#REF!),"")</f>
        <v>#REF!</v>
      </c>
      <c r="AN43" s="1"/>
      <c r="AO43" s="271"/>
      <c r="AP43" s="211"/>
      <c r="AQ43" s="211"/>
      <c r="AR43" s="211"/>
      <c r="AS43" s="211"/>
      <c r="AT43" s="272"/>
    </row>
    <row r="44" spans="2:46" ht="15" customHeight="1" x14ac:dyDescent="0.25">
      <c r="B44" s="288"/>
      <c r="C44" s="211"/>
      <c r="D44" s="212"/>
      <c r="E44" s="223"/>
      <c r="F44" s="211"/>
      <c r="G44" s="211"/>
      <c r="H44" s="211"/>
      <c r="I44" s="211"/>
      <c r="J44" s="45" t="e">
        <f>IF(AND('Mapa final'!#REF!="Baja",'Mapa final'!#REF!="Leve"),CONCATENATE("R9C",'Mapa final'!#REF!),"")</f>
        <v>#REF!</v>
      </c>
      <c r="K44" s="46" t="e">
        <f>IF(AND('Mapa final'!#REF!="Baja",'Mapa final'!#REF!="Leve"),CONCATENATE("R9C",'Mapa final'!#REF!),"")</f>
        <v>#REF!</v>
      </c>
      <c r="L44" s="46" t="e">
        <f>IF(AND('Mapa final'!#REF!="Baja",'Mapa final'!#REF!="Leve"),CONCATENATE("R9C",'Mapa final'!#REF!),"")</f>
        <v>#REF!</v>
      </c>
      <c r="M44" s="46" t="e">
        <f>IF(AND('Mapa final'!#REF!="Baja",'Mapa final'!#REF!="Leve"),CONCATENATE("R9C",'Mapa final'!#REF!),"")</f>
        <v>#REF!</v>
      </c>
      <c r="N44" s="46" t="e">
        <f>IF(AND('Mapa final'!#REF!="Baja",'Mapa final'!#REF!="Leve"),CONCATENATE("R9C",'Mapa final'!#REF!),"")</f>
        <v>#REF!</v>
      </c>
      <c r="O44" s="47" t="e">
        <f>IF(AND('Mapa final'!#REF!="Baja",'Mapa final'!#REF!="Leve"),CONCATENATE("R9C",'Mapa final'!#REF!),"")</f>
        <v>#REF!</v>
      </c>
      <c r="P44" s="36" t="e">
        <f>IF(AND('Mapa final'!#REF!="Baja",'Mapa final'!#REF!="Menor"),CONCATENATE("R9C",'Mapa final'!#REF!),"")</f>
        <v>#REF!</v>
      </c>
      <c r="Q44" s="37" t="e">
        <f>IF(AND('Mapa final'!#REF!="Baja",'Mapa final'!#REF!="Menor"),CONCATENATE("R9C",'Mapa final'!#REF!),"")</f>
        <v>#REF!</v>
      </c>
      <c r="R44" s="37" t="e">
        <f>IF(AND('Mapa final'!#REF!="Baja",'Mapa final'!#REF!="Menor"),CONCATENATE("R9C",'Mapa final'!#REF!),"")</f>
        <v>#REF!</v>
      </c>
      <c r="S44" s="37" t="e">
        <f>IF(AND('Mapa final'!#REF!="Baja",'Mapa final'!#REF!="Menor"),CONCATENATE("R9C",'Mapa final'!#REF!),"")</f>
        <v>#REF!</v>
      </c>
      <c r="T44" s="37" t="e">
        <f>IF(AND('Mapa final'!#REF!="Baja",'Mapa final'!#REF!="Menor"),CONCATENATE("R9C",'Mapa final'!#REF!),"")</f>
        <v>#REF!</v>
      </c>
      <c r="U44" s="38" t="e">
        <f>IF(AND('Mapa final'!#REF!="Baja",'Mapa final'!#REF!="Menor"),CONCATENATE("R9C",'Mapa final'!#REF!),"")</f>
        <v>#REF!</v>
      </c>
      <c r="V44" s="36" t="e">
        <f>IF(AND('Mapa final'!#REF!="Baja",'Mapa final'!#REF!="Moderado"),CONCATENATE("R9C",'Mapa final'!#REF!),"")</f>
        <v>#REF!</v>
      </c>
      <c r="W44" s="37" t="e">
        <f>IF(AND('Mapa final'!#REF!="Baja",'Mapa final'!#REF!="Moderado"),CONCATENATE("R9C",'Mapa final'!#REF!),"")</f>
        <v>#REF!</v>
      </c>
      <c r="X44" s="37" t="e">
        <f>IF(AND('Mapa final'!#REF!="Baja",'Mapa final'!#REF!="Moderado"),CONCATENATE("R9C",'Mapa final'!#REF!),"")</f>
        <v>#REF!</v>
      </c>
      <c r="Y44" s="37" t="e">
        <f>IF(AND('Mapa final'!#REF!="Baja",'Mapa final'!#REF!="Moderado"),CONCATENATE("R9C",'Mapa final'!#REF!),"")</f>
        <v>#REF!</v>
      </c>
      <c r="Z44" s="37" t="e">
        <f>IF(AND('Mapa final'!#REF!="Baja",'Mapa final'!#REF!="Moderado"),CONCATENATE("R9C",'Mapa final'!#REF!),"")</f>
        <v>#REF!</v>
      </c>
      <c r="AA44" s="38" t="e">
        <f>IF(AND('Mapa final'!#REF!="Baja",'Mapa final'!#REF!="Moderado"),CONCATENATE("R9C",'Mapa final'!#REF!),"")</f>
        <v>#REF!</v>
      </c>
      <c r="AB44" s="21" t="e">
        <f>IF(AND('Mapa final'!#REF!="Baja",'Mapa final'!#REF!="Mayor"),CONCATENATE("R9C",'Mapa final'!#REF!),"")</f>
        <v>#REF!</v>
      </c>
      <c r="AC44" s="22" t="e">
        <f>IF(AND('Mapa final'!#REF!="Baja",'Mapa final'!#REF!="Mayor"),CONCATENATE("R9C",'Mapa final'!#REF!),"")</f>
        <v>#REF!</v>
      </c>
      <c r="AD44" s="22" t="e">
        <f>IF(AND('Mapa final'!#REF!="Baja",'Mapa final'!#REF!="Mayor"),CONCATENATE("R9C",'Mapa final'!#REF!),"")</f>
        <v>#REF!</v>
      </c>
      <c r="AE44" s="22" t="e">
        <f>IF(AND('Mapa final'!#REF!="Baja",'Mapa final'!#REF!="Mayor"),CONCATENATE("R9C",'Mapa final'!#REF!),"")</f>
        <v>#REF!</v>
      </c>
      <c r="AF44" s="22" t="e">
        <f>IF(AND('Mapa final'!#REF!="Baja",'Mapa final'!#REF!="Mayor"),CONCATENATE("R9C",'Mapa final'!#REF!),"")</f>
        <v>#REF!</v>
      </c>
      <c r="AG44" s="23" t="e">
        <f>IF(AND('Mapa final'!#REF!="Baja",'Mapa final'!#REF!="Mayor"),CONCATENATE("R9C",'Mapa final'!#REF!),"")</f>
        <v>#REF!</v>
      </c>
      <c r="AH44" s="24" t="e">
        <f>IF(AND('Mapa final'!#REF!="Baja",'Mapa final'!#REF!="Catastrófico"),CONCATENATE("R9C",'Mapa final'!#REF!),"")</f>
        <v>#REF!</v>
      </c>
      <c r="AI44" s="25" t="e">
        <f>IF(AND('Mapa final'!#REF!="Baja",'Mapa final'!#REF!="Catastrófico"),CONCATENATE("R9C",'Mapa final'!#REF!),"")</f>
        <v>#REF!</v>
      </c>
      <c r="AJ44" s="25" t="e">
        <f>IF(AND('Mapa final'!#REF!="Baja",'Mapa final'!#REF!="Catastrófico"),CONCATENATE("R9C",'Mapa final'!#REF!),"")</f>
        <v>#REF!</v>
      </c>
      <c r="AK44" s="25" t="e">
        <f>IF(AND('Mapa final'!#REF!="Baja",'Mapa final'!#REF!="Catastrófico"),CONCATENATE("R9C",'Mapa final'!#REF!),"")</f>
        <v>#REF!</v>
      </c>
      <c r="AL44" s="25" t="e">
        <f>IF(AND('Mapa final'!#REF!="Baja",'Mapa final'!#REF!="Catastrófico"),CONCATENATE("R9C",'Mapa final'!#REF!),"")</f>
        <v>#REF!</v>
      </c>
      <c r="AM44" s="26" t="e">
        <f>IF(AND('Mapa final'!#REF!="Baja",'Mapa final'!#REF!="Catastrófico"),CONCATENATE("R9C",'Mapa final'!#REF!),"")</f>
        <v>#REF!</v>
      </c>
      <c r="AN44" s="1"/>
      <c r="AO44" s="271"/>
      <c r="AP44" s="211"/>
      <c r="AQ44" s="211"/>
      <c r="AR44" s="211"/>
      <c r="AS44" s="211"/>
      <c r="AT44" s="272"/>
    </row>
    <row r="45" spans="2:46" ht="15.75" customHeight="1" x14ac:dyDescent="0.25">
      <c r="B45" s="288"/>
      <c r="C45" s="211"/>
      <c r="D45" s="212"/>
      <c r="E45" s="257"/>
      <c r="F45" s="281"/>
      <c r="G45" s="281"/>
      <c r="H45" s="281"/>
      <c r="I45" s="281"/>
      <c r="J45" s="48" t="e">
        <f>IF(AND('Mapa final'!#REF!="Baja",'Mapa final'!#REF!="Leve"),CONCATENATE("R10C",'Mapa final'!#REF!),"")</f>
        <v>#REF!</v>
      </c>
      <c r="K45" s="49" t="e">
        <f>IF(AND('Mapa final'!#REF!="Baja",'Mapa final'!#REF!="Leve"),CONCATENATE("R10C",'Mapa final'!#REF!),"")</f>
        <v>#REF!</v>
      </c>
      <c r="L45" s="49" t="e">
        <f>IF(AND('Mapa final'!#REF!="Baja",'Mapa final'!#REF!="Leve"),CONCATENATE("R10C",'Mapa final'!#REF!),"")</f>
        <v>#REF!</v>
      </c>
      <c r="M45" s="49" t="e">
        <f>IF(AND('Mapa final'!#REF!="Baja",'Mapa final'!#REF!="Leve"),CONCATENATE("R10C",'Mapa final'!#REF!),"")</f>
        <v>#REF!</v>
      </c>
      <c r="N45" s="49" t="e">
        <f>IF(AND('Mapa final'!#REF!="Baja",'Mapa final'!#REF!="Leve"),CONCATENATE("R10C",'Mapa final'!#REF!),"")</f>
        <v>#REF!</v>
      </c>
      <c r="O45" s="50" t="e">
        <f>IF(AND('Mapa final'!#REF!="Baja",'Mapa final'!#REF!="Leve"),CONCATENATE("R10C",'Mapa final'!#REF!),"")</f>
        <v>#REF!</v>
      </c>
      <c r="P45" s="36" t="e">
        <f>IF(AND('Mapa final'!#REF!="Baja",'Mapa final'!#REF!="Menor"),CONCATENATE("R10C",'Mapa final'!#REF!),"")</f>
        <v>#REF!</v>
      </c>
      <c r="Q45" s="37" t="e">
        <f>IF(AND('Mapa final'!#REF!="Baja",'Mapa final'!#REF!="Menor"),CONCATENATE("R10C",'Mapa final'!#REF!),"")</f>
        <v>#REF!</v>
      </c>
      <c r="R45" s="37" t="e">
        <f>IF(AND('Mapa final'!#REF!="Baja",'Mapa final'!#REF!="Menor"),CONCATENATE("R10C",'Mapa final'!#REF!),"")</f>
        <v>#REF!</v>
      </c>
      <c r="S45" s="37" t="e">
        <f>IF(AND('Mapa final'!#REF!="Baja",'Mapa final'!#REF!="Menor"),CONCATENATE("R10C",'Mapa final'!#REF!),"")</f>
        <v>#REF!</v>
      </c>
      <c r="T45" s="37" t="e">
        <f>IF(AND('Mapa final'!#REF!="Baja",'Mapa final'!#REF!="Menor"),CONCATENATE("R10C",'Mapa final'!#REF!),"")</f>
        <v>#REF!</v>
      </c>
      <c r="U45" s="38" t="e">
        <f>IF(AND('Mapa final'!#REF!="Baja",'Mapa final'!#REF!="Menor"),CONCATENATE("R10C",'Mapa final'!#REF!),"")</f>
        <v>#REF!</v>
      </c>
      <c r="V45" s="39" t="e">
        <f>IF(AND('Mapa final'!#REF!="Baja",'Mapa final'!#REF!="Moderado"),CONCATENATE("R10C",'Mapa final'!#REF!),"")</f>
        <v>#REF!</v>
      </c>
      <c r="W45" s="40" t="e">
        <f>IF(AND('Mapa final'!#REF!="Baja",'Mapa final'!#REF!="Moderado"),CONCATENATE("R10C",'Mapa final'!#REF!),"")</f>
        <v>#REF!</v>
      </c>
      <c r="X45" s="40" t="e">
        <f>IF(AND('Mapa final'!#REF!="Baja",'Mapa final'!#REF!="Moderado"),CONCATENATE("R10C",'Mapa final'!#REF!),"")</f>
        <v>#REF!</v>
      </c>
      <c r="Y45" s="40" t="e">
        <f>IF(AND('Mapa final'!#REF!="Baja",'Mapa final'!#REF!="Moderado"),CONCATENATE("R10C",'Mapa final'!#REF!),"")</f>
        <v>#REF!</v>
      </c>
      <c r="Z45" s="40" t="e">
        <f>IF(AND('Mapa final'!#REF!="Baja",'Mapa final'!#REF!="Moderado"),CONCATENATE("R10C",'Mapa final'!#REF!),"")</f>
        <v>#REF!</v>
      </c>
      <c r="AA45" s="41" t="e">
        <f>IF(AND('Mapa final'!#REF!="Baja",'Mapa final'!#REF!="Moderado"),CONCATENATE("R10C",'Mapa final'!#REF!),"")</f>
        <v>#REF!</v>
      </c>
      <c r="AB45" s="27" t="e">
        <f>IF(AND('Mapa final'!#REF!="Baja",'Mapa final'!#REF!="Mayor"),CONCATENATE("R10C",'Mapa final'!#REF!),"")</f>
        <v>#REF!</v>
      </c>
      <c r="AC45" s="28" t="e">
        <f>IF(AND('Mapa final'!#REF!="Baja",'Mapa final'!#REF!="Mayor"),CONCATENATE("R10C",'Mapa final'!#REF!),"")</f>
        <v>#REF!</v>
      </c>
      <c r="AD45" s="28" t="e">
        <f>IF(AND('Mapa final'!#REF!="Baja",'Mapa final'!#REF!="Mayor"),CONCATENATE("R10C",'Mapa final'!#REF!),"")</f>
        <v>#REF!</v>
      </c>
      <c r="AE45" s="28" t="e">
        <f>IF(AND('Mapa final'!#REF!="Baja",'Mapa final'!#REF!="Mayor"),CONCATENATE("R10C",'Mapa final'!#REF!),"")</f>
        <v>#REF!</v>
      </c>
      <c r="AF45" s="28" t="e">
        <f>IF(AND('Mapa final'!#REF!="Baja",'Mapa final'!#REF!="Mayor"),CONCATENATE("R10C",'Mapa final'!#REF!),"")</f>
        <v>#REF!</v>
      </c>
      <c r="AG45" s="29" t="e">
        <f>IF(AND('Mapa final'!#REF!="Baja",'Mapa final'!#REF!="Mayor"),CONCATENATE("R10C",'Mapa final'!#REF!),"")</f>
        <v>#REF!</v>
      </c>
      <c r="AH45" s="30" t="e">
        <f>IF(AND('Mapa final'!#REF!="Baja",'Mapa final'!#REF!="Catastrófico"),CONCATENATE("R10C",'Mapa final'!#REF!),"")</f>
        <v>#REF!</v>
      </c>
      <c r="AI45" s="31" t="e">
        <f>IF(AND('Mapa final'!#REF!="Baja",'Mapa final'!#REF!="Catastrófico"),CONCATENATE("R10C",'Mapa final'!#REF!),"")</f>
        <v>#REF!</v>
      </c>
      <c r="AJ45" s="31" t="e">
        <f>IF(AND('Mapa final'!#REF!="Baja",'Mapa final'!#REF!="Catastrófico"),CONCATENATE("R10C",'Mapa final'!#REF!),"")</f>
        <v>#REF!</v>
      </c>
      <c r="AK45" s="31" t="e">
        <f>IF(AND('Mapa final'!#REF!="Baja",'Mapa final'!#REF!="Catastrófico"),CONCATENATE("R10C",'Mapa final'!#REF!),"")</f>
        <v>#REF!</v>
      </c>
      <c r="AL45" s="31" t="e">
        <f>IF(AND('Mapa final'!#REF!="Baja",'Mapa final'!#REF!="Catastrófico"),CONCATENATE("R10C",'Mapa final'!#REF!),"")</f>
        <v>#REF!</v>
      </c>
      <c r="AM45" s="32" t="e">
        <f>IF(AND('Mapa final'!#REF!="Baja",'Mapa final'!#REF!="Catastrófico"),CONCATENATE("R10C",'Mapa final'!#REF!),"")</f>
        <v>#REF!</v>
      </c>
      <c r="AN45" s="1"/>
      <c r="AO45" s="273"/>
      <c r="AP45" s="274"/>
      <c r="AQ45" s="274"/>
      <c r="AR45" s="274"/>
      <c r="AS45" s="274"/>
      <c r="AT45" s="275"/>
    </row>
    <row r="46" spans="2:46" ht="46.5" customHeight="1" x14ac:dyDescent="0.35">
      <c r="B46" s="288"/>
      <c r="C46" s="211"/>
      <c r="D46" s="212"/>
      <c r="E46" s="296" t="s">
        <v>103</v>
      </c>
      <c r="F46" s="280"/>
      <c r="G46" s="280"/>
      <c r="H46" s="280"/>
      <c r="I46" s="262"/>
      <c r="J46" s="42" t="str">
        <f>IF(AND('Mapa final'!$Y$16="Muy Baja",'Mapa final'!$AA$16="Leve"),CONCATENATE("R1C",'Mapa final'!$O$16),"")</f>
        <v/>
      </c>
      <c r="K46" s="43" t="str">
        <f>IF(AND('Mapa final'!$Y$17="Muy Baja",'Mapa final'!$AA$17="Leve"),CONCATENATE("R1C",'Mapa final'!$O$17),"")</f>
        <v/>
      </c>
      <c r="L46" s="43" t="str">
        <f>IF(AND('Mapa final'!$Y$18="Muy Baja",'Mapa final'!$AA$18="Leve"),CONCATENATE("R1C",'Mapa final'!$O$18),"")</f>
        <v/>
      </c>
      <c r="M46" s="43" t="e">
        <f>IF(AND('Mapa final'!#REF!="Muy Baja",'Mapa final'!#REF!="Leve"),CONCATENATE("R1C",'Mapa final'!#REF!),"")</f>
        <v>#REF!</v>
      </c>
      <c r="N46" s="43" t="e">
        <f>IF(AND('Mapa final'!#REF!="Muy Baja",'Mapa final'!#REF!="Leve"),CONCATENATE("R1C",'Mapa final'!#REF!),"")</f>
        <v>#REF!</v>
      </c>
      <c r="O46" s="44" t="e">
        <f>IF(AND('Mapa final'!#REF!="Muy Baja",'Mapa final'!#REF!="Leve"),CONCATENATE("R1C",'Mapa final'!#REF!),"")</f>
        <v>#REF!</v>
      </c>
      <c r="P46" s="42" t="str">
        <f>IF(AND('Mapa final'!$Y$16="Muy Baja",'Mapa final'!$AA$16="Menor"),CONCATENATE("R1C",'Mapa final'!$O$16),"")</f>
        <v/>
      </c>
      <c r="Q46" s="43" t="str">
        <f>IF(AND('Mapa final'!$Y$17="Muy Baja",'Mapa final'!$AA$17="Menor"),CONCATENATE("R1C",'Mapa final'!$O$17),"")</f>
        <v/>
      </c>
      <c r="R46" s="43" t="str">
        <f>IF(AND('Mapa final'!$Y$18="Muy Baja",'Mapa final'!$AA$18="Menor"),CONCATENATE("R1C",'Mapa final'!$O$18),"")</f>
        <v/>
      </c>
      <c r="S46" s="43" t="e">
        <f>IF(AND('Mapa final'!#REF!="Muy Baja",'Mapa final'!#REF!="Menor"),CONCATENATE("R1C",'Mapa final'!#REF!),"")</f>
        <v>#REF!</v>
      </c>
      <c r="T46" s="43" t="e">
        <f>IF(AND('Mapa final'!#REF!="Muy Baja",'Mapa final'!#REF!="Menor"),CONCATENATE("R1C",'Mapa final'!#REF!),"")</f>
        <v>#REF!</v>
      </c>
      <c r="U46" s="44" t="e">
        <f>IF(AND('Mapa final'!#REF!="Muy Baja",'Mapa final'!#REF!="Menor"),CONCATENATE("R1C",'Mapa final'!#REF!),"")</f>
        <v>#REF!</v>
      </c>
      <c r="V46" s="33" t="str">
        <f>IF(AND('Mapa final'!$Y$16="Muy Baja",'Mapa final'!$AA$16="Moderado"),CONCATENATE("R1C",'Mapa final'!$O$16),"")</f>
        <v/>
      </c>
      <c r="W46" s="51" t="str">
        <f>IF(AND('Mapa final'!$Y$17="Muy Baja",'Mapa final'!$AA$17="Moderado"),CONCATENATE("R1C",'Mapa final'!$O$17),"")</f>
        <v/>
      </c>
      <c r="X46" s="34" t="str">
        <f>IF(AND('Mapa final'!$Y$18="Muy Baja",'Mapa final'!$AA$18="Moderado"),CONCATENATE("R1C",'Mapa final'!$O$18),"")</f>
        <v/>
      </c>
      <c r="Y46" s="34" t="e">
        <f>IF(AND('Mapa final'!#REF!="Muy Baja",'Mapa final'!#REF!="Moderado"),CONCATENATE("R1C",'Mapa final'!#REF!),"")</f>
        <v>#REF!</v>
      </c>
      <c r="Z46" s="34" t="e">
        <f>IF(AND('Mapa final'!#REF!="Muy Baja",'Mapa final'!#REF!="Moderado"),CONCATENATE("R1C",'Mapa final'!#REF!),"")</f>
        <v>#REF!</v>
      </c>
      <c r="AA46" s="35" t="e">
        <f>IF(AND('Mapa final'!#REF!="Muy Baja",'Mapa final'!#REF!="Moderado"),CONCATENATE("R1C",'Mapa final'!#REF!),"")</f>
        <v>#REF!</v>
      </c>
      <c r="AB46" s="15" t="str">
        <f>IF(AND('Mapa final'!$Y$16="Muy Baja",'Mapa final'!$AA$16="Mayor"),CONCATENATE("R1C",'Mapa final'!$O$16),"")</f>
        <v/>
      </c>
      <c r="AC46" s="16" t="str">
        <f>IF(AND('Mapa final'!$Y$17="Muy Baja",'Mapa final'!$AA$17="Mayor"),CONCATENATE("R1C",'Mapa final'!$O$17),"")</f>
        <v/>
      </c>
      <c r="AD46" s="16" t="str">
        <f>IF(AND('Mapa final'!$Y$18="Muy Baja",'Mapa final'!$AA$18="Mayor"),CONCATENATE("R1C",'Mapa final'!$O$18),"")</f>
        <v>R1C3</v>
      </c>
      <c r="AE46" s="16" t="e">
        <f>IF(AND('Mapa final'!#REF!="Muy Baja",'Mapa final'!#REF!="Mayor"),CONCATENATE("R1C",'Mapa final'!#REF!),"")</f>
        <v>#REF!</v>
      </c>
      <c r="AF46" s="16" t="e">
        <f>IF(AND('Mapa final'!#REF!="Muy Baja",'Mapa final'!#REF!="Mayor"),CONCATENATE("R1C",'Mapa final'!#REF!),"")</f>
        <v>#REF!</v>
      </c>
      <c r="AG46" s="17" t="e">
        <f>IF(AND('Mapa final'!#REF!="Muy Baja",'Mapa final'!#REF!="Mayor"),CONCATENATE("R1C",'Mapa final'!#REF!),"")</f>
        <v>#REF!</v>
      </c>
      <c r="AH46" s="18" t="str">
        <f>IF(AND('Mapa final'!$Y$16="Muy Baja",'Mapa final'!$AA$16="Catastrófico"),CONCATENATE("R1C",'Mapa final'!$O$16),"")</f>
        <v/>
      </c>
      <c r="AI46" s="19" t="str">
        <f>IF(AND('Mapa final'!$Y$17="Muy Baja",'Mapa final'!$AA$17="Catastrófico"),CONCATENATE("R1C",'Mapa final'!$O$17),"")</f>
        <v/>
      </c>
      <c r="AJ46" s="19" t="str">
        <f>IF(AND('Mapa final'!$Y$18="Muy Baja",'Mapa final'!$AA$18="Catastrófico"),CONCATENATE("R1C",'Mapa final'!$O$18),"")</f>
        <v/>
      </c>
      <c r="AK46" s="19" t="e">
        <f>IF(AND('Mapa final'!#REF!="Muy Baja",'Mapa final'!#REF!="Catastrófico"),CONCATENATE("R1C",'Mapa final'!#REF!),"")</f>
        <v>#REF!</v>
      </c>
      <c r="AL46" s="19" t="e">
        <f>IF(AND('Mapa final'!#REF!="Muy Baja",'Mapa final'!#REF!="Catastrófico"),CONCATENATE("R1C",'Mapa final'!#REF!),"")</f>
        <v>#REF!</v>
      </c>
      <c r="AM46" s="20" t="e">
        <f>IF(AND('Mapa final'!#REF!="Muy Baja",'Mapa final'!#REF!="Catastrófico"),CONCATENATE("R1C",'Mapa final'!#REF!),"")</f>
        <v>#REF!</v>
      </c>
      <c r="AN46" s="1"/>
      <c r="AO46" s="1"/>
      <c r="AP46" s="1"/>
      <c r="AQ46" s="1"/>
      <c r="AR46" s="1"/>
      <c r="AS46" s="1"/>
      <c r="AT46" s="1"/>
    </row>
    <row r="47" spans="2:46" ht="46.5" customHeight="1" x14ac:dyDescent="0.25">
      <c r="B47" s="288"/>
      <c r="C47" s="211"/>
      <c r="D47" s="212"/>
      <c r="E47" s="223"/>
      <c r="F47" s="211"/>
      <c r="G47" s="211"/>
      <c r="H47" s="211"/>
      <c r="I47" s="212"/>
      <c r="J47" s="45" t="str">
        <f>IF(AND('Mapa final'!$Y$21="Muy Baja",'Mapa final'!$AA$21="Leve"),CONCATENATE("R2C",'Mapa final'!$O$21),"")</f>
        <v/>
      </c>
      <c r="K47" s="46" t="e">
        <f>IF(AND('Mapa final'!#REF!="Muy Baja",'Mapa final'!#REF!="Leve"),CONCATENATE("R2C",'Mapa final'!#REF!),"")</f>
        <v>#REF!</v>
      </c>
      <c r="L47" s="46" t="e">
        <f>IF(AND('Mapa final'!#REF!="Muy Baja",'Mapa final'!#REF!="Leve"),CONCATENATE("R2C",'Mapa final'!#REF!),"")</f>
        <v>#REF!</v>
      </c>
      <c r="M47" s="46" t="e">
        <f>IF(AND('Mapa final'!#REF!="Muy Baja",'Mapa final'!#REF!="Leve"),CONCATENATE("R2C",'Mapa final'!#REF!),"")</f>
        <v>#REF!</v>
      </c>
      <c r="N47" s="46" t="str">
        <f>IF(AND('Mapa final'!$Y$22="Muy Baja",'Mapa final'!$AA$22="Leve"),CONCATENATE("R2C",'Mapa final'!$O$22),"")</f>
        <v/>
      </c>
      <c r="O47" s="47" t="str">
        <f>IF(AND('Mapa final'!$Y$23="Muy Baja",'Mapa final'!$AA$23="Leve"),CONCATENATE("R2C",'Mapa final'!$O$23),"")</f>
        <v/>
      </c>
      <c r="P47" s="45" t="str">
        <f>IF(AND('Mapa final'!$Y$21="Muy Baja",'Mapa final'!$AA$21="Menor"),CONCATENATE("R2C",'Mapa final'!$O$21),"")</f>
        <v/>
      </c>
      <c r="Q47" s="46" t="e">
        <f>IF(AND('Mapa final'!#REF!="Muy Baja",'Mapa final'!#REF!="Menor"),CONCATENATE("R2C",'Mapa final'!#REF!),"")</f>
        <v>#REF!</v>
      </c>
      <c r="R47" s="46" t="e">
        <f>IF(AND('Mapa final'!#REF!="Muy Baja",'Mapa final'!#REF!="Menor"),CONCATENATE("R2C",'Mapa final'!#REF!),"")</f>
        <v>#REF!</v>
      </c>
      <c r="S47" s="46" t="e">
        <f>IF(AND('Mapa final'!#REF!="Muy Baja",'Mapa final'!#REF!="Menor"),CONCATENATE("R2C",'Mapa final'!#REF!),"")</f>
        <v>#REF!</v>
      </c>
      <c r="T47" s="46" t="str">
        <f>IF(AND('Mapa final'!$Y$22="Muy Baja",'Mapa final'!$AA$22="Menor"),CONCATENATE("R2C",'Mapa final'!$O$22),"")</f>
        <v/>
      </c>
      <c r="U47" s="47" t="str">
        <f>IF(AND('Mapa final'!$Y$23="Muy Baja",'Mapa final'!$AA$23="Menor"),CONCATENATE("R2C",'Mapa final'!$O$23),"")</f>
        <v/>
      </c>
      <c r="V47" s="36" t="str">
        <f>IF(AND('Mapa final'!$Y$21="Muy Baja",'Mapa final'!$AA$21="Moderado"),CONCATENATE("R2C",'Mapa final'!$O$21),"")</f>
        <v/>
      </c>
      <c r="W47" s="37" t="e">
        <f>IF(AND('Mapa final'!#REF!="Muy Baja",'Mapa final'!#REF!="Moderado"),CONCATENATE("R2C",'Mapa final'!#REF!),"")</f>
        <v>#REF!</v>
      </c>
      <c r="X47" s="37" t="e">
        <f>IF(AND('Mapa final'!#REF!="Muy Baja",'Mapa final'!#REF!="Moderado"),CONCATENATE("R2C",'Mapa final'!#REF!),"")</f>
        <v>#REF!</v>
      </c>
      <c r="Y47" s="37" t="e">
        <f>IF(AND('Mapa final'!#REF!="Muy Baja",'Mapa final'!#REF!="Moderado"),CONCATENATE("R2C",'Mapa final'!#REF!),"")</f>
        <v>#REF!</v>
      </c>
      <c r="Z47" s="37" t="str">
        <f>IF(AND('Mapa final'!$Y$22="Muy Baja",'Mapa final'!$AA$22="Moderado"),CONCATENATE("R2C",'Mapa final'!$O$22),"")</f>
        <v/>
      </c>
      <c r="AA47" s="38" t="str">
        <f>IF(AND('Mapa final'!$Y$23="Muy Baja",'Mapa final'!$AA$23="Moderado"),CONCATENATE("R2C",'Mapa final'!$O$23),"")</f>
        <v/>
      </c>
      <c r="AB47" s="21" t="str">
        <f>IF(AND('Mapa final'!$Y$21="Muy Baja",'Mapa final'!$AA$21="Mayor"),CONCATENATE("R2C",'Mapa final'!$O$21),"")</f>
        <v/>
      </c>
      <c r="AC47" s="22" t="e">
        <f>IF(AND('Mapa final'!#REF!="Muy Baja",'Mapa final'!#REF!="Mayor"),CONCATENATE("R2C",'Mapa final'!#REF!),"")</f>
        <v>#REF!</v>
      </c>
      <c r="AD47" s="22" t="e">
        <f>IF(AND('Mapa final'!#REF!="Muy Baja",'Mapa final'!#REF!="Mayor"),CONCATENATE("R2C",'Mapa final'!#REF!),"")</f>
        <v>#REF!</v>
      </c>
      <c r="AE47" s="22" t="e">
        <f>IF(AND('Mapa final'!#REF!="Muy Baja",'Mapa final'!#REF!="Mayor"),CONCATENATE("R2C",'Mapa final'!#REF!),"")</f>
        <v>#REF!</v>
      </c>
      <c r="AF47" s="22" t="str">
        <f>IF(AND('Mapa final'!$Y$22="Muy Baja",'Mapa final'!$AA$22="Mayor"),CONCATENATE("R2C",'Mapa final'!$O$22),"")</f>
        <v/>
      </c>
      <c r="AG47" s="23" t="str">
        <f>IF(AND('Mapa final'!$Y$23="Muy Baja",'Mapa final'!$AA$23="Mayor"),CONCATENATE("R2C",'Mapa final'!$O$23),"")</f>
        <v/>
      </c>
      <c r="AH47" s="24" t="str">
        <f>IF(AND('Mapa final'!$Y$21="Muy Baja",'Mapa final'!$AA$21="Catastrófico"),CONCATENATE("R2C",'Mapa final'!$O$21),"")</f>
        <v/>
      </c>
      <c r="AI47" s="25" t="e">
        <f>IF(AND('Mapa final'!#REF!="Muy Baja",'Mapa final'!#REF!="Catastrófico"),CONCATENATE("R2C",'Mapa final'!#REF!),"")</f>
        <v>#REF!</v>
      </c>
      <c r="AJ47" s="25" t="e">
        <f>IF(AND('Mapa final'!#REF!="Muy Baja",'Mapa final'!#REF!="Catastrófico"),CONCATENATE("R2C",'Mapa final'!#REF!),"")</f>
        <v>#REF!</v>
      </c>
      <c r="AK47" s="25" t="e">
        <f>IF(AND('Mapa final'!#REF!="Muy Baja",'Mapa final'!#REF!="Catastrófico"),CONCATENATE("R2C",'Mapa final'!#REF!),"")</f>
        <v>#REF!</v>
      </c>
      <c r="AL47" s="25" t="str">
        <f>IF(AND('Mapa final'!$Y$22="Muy Baja",'Mapa final'!$AA$22="Catastrófico"),CONCATENATE("R2C",'Mapa final'!$O$22),"")</f>
        <v/>
      </c>
      <c r="AM47" s="26" t="str">
        <f>IF(AND('Mapa final'!$Y$23="Muy Baja",'Mapa final'!$AA$23="Catastrófico"),CONCATENATE("R2C",'Mapa final'!$O$23),"")</f>
        <v/>
      </c>
      <c r="AN47" s="1"/>
      <c r="AO47" s="1"/>
      <c r="AP47" s="1"/>
      <c r="AQ47" s="1"/>
      <c r="AR47" s="1"/>
      <c r="AS47" s="1"/>
      <c r="AT47" s="1"/>
    </row>
    <row r="48" spans="2:46" ht="15" customHeight="1" x14ac:dyDescent="0.25">
      <c r="B48" s="288"/>
      <c r="C48" s="211"/>
      <c r="D48" s="212"/>
      <c r="E48" s="223"/>
      <c r="F48" s="211"/>
      <c r="G48" s="211"/>
      <c r="H48" s="211"/>
      <c r="I48" s="212"/>
      <c r="J48" s="45" t="str">
        <f>IF(AND('Mapa final'!$Y$26="Muy Baja",'Mapa final'!$AA$26="Leve"),CONCATENATE("R3C",'Mapa final'!$O$26),"")</f>
        <v/>
      </c>
      <c r="K48" s="46" t="str">
        <f>IF(AND('Mapa final'!$Y$27="Muy Baja",'Mapa final'!$AA$27="Leve"),CONCATENATE("R3C",'Mapa final'!$O$27),"")</f>
        <v/>
      </c>
      <c r="L48" s="46" t="str">
        <f>IF(AND('Mapa final'!$Y$28="Muy Baja",'Mapa final'!$AA$28="Leve"),CONCATENATE("R3C",'Mapa final'!$O$28),"")</f>
        <v/>
      </c>
      <c r="M48" s="46" t="e">
        <f>IF(AND('Mapa final'!#REF!="Muy Baja",'Mapa final'!#REF!="Leve"),CONCATENATE("R3C",'Mapa final'!#REF!),"")</f>
        <v>#REF!</v>
      </c>
      <c r="N48" s="46" t="e">
        <f>IF(AND('Mapa final'!#REF!="Muy Baja",'Mapa final'!#REF!="Leve"),CONCATENATE("R3C",'Mapa final'!#REF!),"")</f>
        <v>#REF!</v>
      </c>
      <c r="O48" s="47" t="e">
        <f>IF(AND('Mapa final'!#REF!="Muy Baja",'Mapa final'!#REF!="Leve"),CONCATENATE("R3C",'Mapa final'!#REF!),"")</f>
        <v>#REF!</v>
      </c>
      <c r="P48" s="45" t="str">
        <f>IF(AND('Mapa final'!$Y$26="Muy Baja",'Mapa final'!$AA$26="Menor"),CONCATENATE("R3C",'Mapa final'!$O$26),"")</f>
        <v/>
      </c>
      <c r="Q48" s="46" t="str">
        <f>IF(AND('Mapa final'!$Y$27="Muy Baja",'Mapa final'!$AA$27="Menor"),CONCATENATE("R3C",'Mapa final'!$O$27),"")</f>
        <v/>
      </c>
      <c r="R48" s="46" t="str">
        <f>IF(AND('Mapa final'!$Y$28="Muy Baja",'Mapa final'!$AA$28="Menor"),CONCATENATE("R3C",'Mapa final'!$O$28),"")</f>
        <v/>
      </c>
      <c r="S48" s="46" t="e">
        <f>IF(AND('Mapa final'!#REF!="Muy Baja",'Mapa final'!#REF!="Menor"),CONCATENATE("R3C",'Mapa final'!#REF!),"")</f>
        <v>#REF!</v>
      </c>
      <c r="T48" s="46" t="e">
        <f>IF(AND('Mapa final'!#REF!="Muy Baja",'Mapa final'!#REF!="Menor"),CONCATENATE("R3C",'Mapa final'!#REF!),"")</f>
        <v>#REF!</v>
      </c>
      <c r="U48" s="47" t="e">
        <f>IF(AND('Mapa final'!#REF!="Muy Baja",'Mapa final'!#REF!="Menor"),CONCATENATE("R3C",'Mapa final'!#REF!),"")</f>
        <v>#REF!</v>
      </c>
      <c r="V48" s="36" t="str">
        <f>IF(AND('Mapa final'!$Y$26="Muy Baja",'Mapa final'!$AA$26="Moderado"),CONCATENATE("R3C",'Mapa final'!$O$26),"")</f>
        <v/>
      </c>
      <c r="W48" s="37" t="str">
        <f>IF(AND('Mapa final'!$Y$27="Muy Baja",'Mapa final'!$AA$27="Moderado"),CONCATENATE("R3C",'Mapa final'!$O$27),"")</f>
        <v/>
      </c>
      <c r="X48" s="37" t="str">
        <f>IF(AND('Mapa final'!$Y$28="Muy Baja",'Mapa final'!$AA$28="Moderado"),CONCATENATE("R3C",'Mapa final'!$O$28),"")</f>
        <v/>
      </c>
      <c r="Y48" s="37" t="e">
        <f>IF(AND('Mapa final'!#REF!="Muy Baja",'Mapa final'!#REF!="Moderado"),CONCATENATE("R3C",'Mapa final'!#REF!),"")</f>
        <v>#REF!</v>
      </c>
      <c r="Z48" s="37" t="e">
        <f>IF(AND('Mapa final'!#REF!="Muy Baja",'Mapa final'!#REF!="Moderado"),CONCATENATE("R3C",'Mapa final'!#REF!),"")</f>
        <v>#REF!</v>
      </c>
      <c r="AA48" s="38" t="e">
        <f>IF(AND('Mapa final'!#REF!="Muy Baja",'Mapa final'!#REF!="Moderado"),CONCATENATE("R3C",'Mapa final'!#REF!),"")</f>
        <v>#REF!</v>
      </c>
      <c r="AB48" s="21" t="str">
        <f>IF(AND('Mapa final'!$Y$26="Muy Baja",'Mapa final'!$AA$26="Mayor"),CONCATENATE("R3C",'Mapa final'!$O$26),"")</f>
        <v/>
      </c>
      <c r="AC48" s="22" t="str">
        <f>IF(AND('Mapa final'!$Y$27="Muy Baja",'Mapa final'!$AA$27="Mayor"),CONCATENATE("R3C",'Mapa final'!$O$27),"")</f>
        <v/>
      </c>
      <c r="AD48" s="22" t="str">
        <f>IF(AND('Mapa final'!$Y$28="Muy Baja",'Mapa final'!$AA$28="Mayor"),CONCATENATE("R3C",'Mapa final'!$O$28),"")</f>
        <v/>
      </c>
      <c r="AE48" s="22" t="e">
        <f>IF(AND('Mapa final'!#REF!="Muy Baja",'Mapa final'!#REF!="Mayor"),CONCATENATE("R3C",'Mapa final'!#REF!),"")</f>
        <v>#REF!</v>
      </c>
      <c r="AF48" s="22" t="e">
        <f>IF(AND('Mapa final'!#REF!="Muy Baja",'Mapa final'!#REF!="Mayor"),CONCATENATE("R3C",'Mapa final'!#REF!),"")</f>
        <v>#REF!</v>
      </c>
      <c r="AG48" s="23" t="e">
        <f>IF(AND('Mapa final'!#REF!="Muy Baja",'Mapa final'!#REF!="Mayor"),CONCATENATE("R3C",'Mapa final'!#REF!),"")</f>
        <v>#REF!</v>
      </c>
      <c r="AH48" s="24" t="str">
        <f>IF(AND('Mapa final'!$Y$26="Muy Baja",'Mapa final'!$AA$26="Catastrófico"),CONCATENATE("R3C",'Mapa final'!$O$26),"")</f>
        <v/>
      </c>
      <c r="AI48" s="25" t="str">
        <f>IF(AND('Mapa final'!$Y$27="Muy Baja",'Mapa final'!$AA$27="Catastrófico"),CONCATENATE("R3C",'Mapa final'!$O$27),"")</f>
        <v/>
      </c>
      <c r="AJ48" s="25" t="str">
        <f>IF(AND('Mapa final'!$Y$28="Muy Baja",'Mapa final'!$AA$28="Catastrófico"),CONCATENATE("R3C",'Mapa final'!$O$28),"")</f>
        <v/>
      </c>
      <c r="AK48" s="25" t="e">
        <f>IF(AND('Mapa final'!#REF!="Muy Baja",'Mapa final'!#REF!="Catastrófico"),CONCATENATE("R3C",'Mapa final'!#REF!),"")</f>
        <v>#REF!</v>
      </c>
      <c r="AL48" s="25" t="e">
        <f>IF(AND('Mapa final'!#REF!="Muy Baja",'Mapa final'!#REF!="Catastrófico"),CONCATENATE("R3C",'Mapa final'!#REF!),"")</f>
        <v>#REF!</v>
      </c>
      <c r="AM48" s="26" t="e">
        <f>IF(AND('Mapa final'!#REF!="Muy Baja",'Mapa final'!#REF!="Catastrófico"),CONCATENATE("R3C",'Mapa final'!#REF!),"")</f>
        <v>#REF!</v>
      </c>
      <c r="AN48" s="1"/>
      <c r="AO48" s="1"/>
      <c r="AP48" s="1"/>
      <c r="AQ48" s="1"/>
      <c r="AR48" s="1"/>
      <c r="AS48" s="1"/>
      <c r="AT48" s="1"/>
    </row>
    <row r="49" spans="2:39" ht="15" customHeight="1" x14ac:dyDescent="0.25">
      <c r="B49" s="288"/>
      <c r="C49" s="211"/>
      <c r="D49" s="212"/>
      <c r="E49" s="223"/>
      <c r="F49" s="211"/>
      <c r="G49" s="211"/>
      <c r="H49" s="211"/>
      <c r="I49" s="212"/>
      <c r="J49" s="45" t="str">
        <f>IF(AND('Mapa final'!$Y$31="Muy Baja",'Mapa final'!$AA$31="Leve"),CONCATENATE("R4C",'Mapa final'!$O$31),"")</f>
        <v/>
      </c>
      <c r="K49" s="46" t="str">
        <f>IF(AND('Mapa final'!$Y$32="Muy Baja",'Mapa final'!$AA$32="Leve"),CONCATENATE("R4C",'Mapa final'!$O$32),"")</f>
        <v/>
      </c>
      <c r="L49" s="46" t="e">
        <f>IF(AND('Mapa final'!#REF!="Muy Baja",'Mapa final'!#REF!="Leve"),CONCATENATE("R4C",'Mapa final'!#REF!),"")</f>
        <v>#REF!</v>
      </c>
      <c r="M49" s="46" t="str">
        <f>IF(AND('Mapa final'!$Y$33="Muy Baja",'Mapa final'!$AA$33="Leve"),CONCATENATE("R4C",'Mapa final'!$O$33),"")</f>
        <v/>
      </c>
      <c r="N49" s="46" t="e">
        <f>IF(AND('Mapa final'!#REF!="Muy Baja",'Mapa final'!#REF!="Leve"),CONCATENATE("R4C",'Mapa final'!#REF!),"")</f>
        <v>#REF!</v>
      </c>
      <c r="O49" s="47" t="e">
        <f>IF(AND('Mapa final'!#REF!="Muy Baja",'Mapa final'!#REF!="Leve"),CONCATENATE("R4C",'Mapa final'!#REF!),"")</f>
        <v>#REF!</v>
      </c>
      <c r="P49" s="45" t="str">
        <f>IF(AND('Mapa final'!$Y$31="Muy Baja",'Mapa final'!$AA$31="Menor"),CONCATENATE("R4C",'Mapa final'!$O$31),"")</f>
        <v/>
      </c>
      <c r="Q49" s="46" t="str">
        <f>IF(AND('Mapa final'!$Y$32="Muy Baja",'Mapa final'!$AA$32="Menor"),CONCATENATE("R4C",'Mapa final'!$O$32),"")</f>
        <v/>
      </c>
      <c r="R49" s="46" t="e">
        <f>IF(AND('Mapa final'!#REF!="Muy Baja",'Mapa final'!#REF!="Menor"),CONCATENATE("R4C",'Mapa final'!#REF!),"")</f>
        <v>#REF!</v>
      </c>
      <c r="S49" s="46" t="str">
        <f>IF(AND('Mapa final'!$Y$33="Muy Baja",'Mapa final'!$AA$33="Menor"),CONCATENATE("R4C",'Mapa final'!$O$33),"")</f>
        <v/>
      </c>
      <c r="T49" s="46" t="e">
        <f>IF(AND('Mapa final'!#REF!="Muy Baja",'Mapa final'!#REF!="Menor"),CONCATENATE("R4C",'Mapa final'!#REF!),"")</f>
        <v>#REF!</v>
      </c>
      <c r="U49" s="47" t="e">
        <f>IF(AND('Mapa final'!#REF!="Muy Baja",'Mapa final'!#REF!="Menor"),CONCATENATE("R4C",'Mapa final'!#REF!),"")</f>
        <v>#REF!</v>
      </c>
      <c r="V49" s="36" t="str">
        <f>IF(AND('Mapa final'!$Y$31="Muy Baja",'Mapa final'!$AA$31="Moderado"),CONCATENATE("R4C",'Mapa final'!$O$31),"")</f>
        <v/>
      </c>
      <c r="W49" s="37" t="str">
        <f>IF(AND('Mapa final'!$Y$32="Muy Baja",'Mapa final'!$AA$32="Moderado"),CONCATENATE("R4C",'Mapa final'!$O$32),"")</f>
        <v/>
      </c>
      <c r="X49" s="37" t="e">
        <f>IF(AND('Mapa final'!#REF!="Muy Baja",'Mapa final'!#REF!="Moderado"),CONCATENATE("R4C",'Mapa final'!#REF!),"")</f>
        <v>#REF!</v>
      </c>
      <c r="Y49" s="37" t="str">
        <f>IF(AND('Mapa final'!$Y$33="Muy Baja",'Mapa final'!$AA$33="Moderado"),CONCATENATE("R4C",'Mapa final'!$O$33),"")</f>
        <v/>
      </c>
      <c r="Z49" s="37" t="e">
        <f>IF(AND('Mapa final'!#REF!="Muy Baja",'Mapa final'!#REF!="Moderado"),CONCATENATE("R4C",'Mapa final'!#REF!),"")</f>
        <v>#REF!</v>
      </c>
      <c r="AA49" s="38" t="e">
        <f>IF(AND('Mapa final'!#REF!="Muy Baja",'Mapa final'!#REF!="Moderado"),CONCATENATE("R4C",'Mapa final'!#REF!),"")</f>
        <v>#REF!</v>
      </c>
      <c r="AB49" s="21" t="str">
        <f>IF(AND('Mapa final'!$Y$31="Muy Baja",'Mapa final'!$AA$31="Mayor"),CONCATENATE("R4C",'Mapa final'!$O$31),"")</f>
        <v/>
      </c>
      <c r="AC49" s="22" t="str">
        <f>IF(AND('Mapa final'!$Y$32="Muy Baja",'Mapa final'!$AA$32="Mayor"),CONCATENATE("R4C",'Mapa final'!$O$32),"")</f>
        <v/>
      </c>
      <c r="AD49" s="22" t="e">
        <f>IF(AND('Mapa final'!#REF!="Muy Baja",'Mapa final'!#REF!="Mayor"),CONCATENATE("R4C",'Mapa final'!#REF!),"")</f>
        <v>#REF!</v>
      </c>
      <c r="AE49" s="22" t="str">
        <f>IF(AND('Mapa final'!$Y$33="Muy Baja",'Mapa final'!$AA$33="Mayor"),CONCATENATE("R4C",'Mapa final'!$O$33),"")</f>
        <v/>
      </c>
      <c r="AF49" s="22" t="e">
        <f>IF(AND('Mapa final'!#REF!="Muy Baja",'Mapa final'!#REF!="Mayor"),CONCATENATE("R4C",'Mapa final'!#REF!),"")</f>
        <v>#REF!</v>
      </c>
      <c r="AG49" s="23" t="e">
        <f>IF(AND('Mapa final'!#REF!="Muy Baja",'Mapa final'!#REF!="Mayor"),CONCATENATE("R4C",'Mapa final'!#REF!),"")</f>
        <v>#REF!</v>
      </c>
      <c r="AH49" s="24" t="str">
        <f>IF(AND('Mapa final'!$Y$31="Muy Baja",'Mapa final'!$AA$31="Catastrófico"),CONCATENATE("R4C",'Mapa final'!$O$31),"")</f>
        <v/>
      </c>
      <c r="AI49" s="25" t="str">
        <f>IF(AND('Mapa final'!$Y$32="Muy Baja",'Mapa final'!$AA$32="Catastrófico"),CONCATENATE("R4C",'Mapa final'!$O$32),"")</f>
        <v/>
      </c>
      <c r="AJ49" s="25" t="e">
        <f>IF(AND('Mapa final'!#REF!="Muy Baja",'Mapa final'!#REF!="Catastrófico"),CONCATENATE("R4C",'Mapa final'!#REF!),"")</f>
        <v>#REF!</v>
      </c>
      <c r="AK49" s="25" t="str">
        <f>IF(AND('Mapa final'!$Y$33="Muy Baja",'Mapa final'!$AA$33="Catastrófico"),CONCATENATE("R4C",'Mapa final'!$O$33),"")</f>
        <v/>
      </c>
      <c r="AL49" s="25" t="e">
        <f>IF(AND('Mapa final'!#REF!="Muy Baja",'Mapa final'!#REF!="Catastrófico"),CONCATENATE("R4C",'Mapa final'!#REF!),"")</f>
        <v>#REF!</v>
      </c>
      <c r="AM49" s="26" t="e">
        <f>IF(AND('Mapa final'!#REF!="Muy Baja",'Mapa final'!#REF!="Catastrófico"),CONCATENATE("R4C",'Mapa final'!#REF!),"")</f>
        <v>#REF!</v>
      </c>
    </row>
    <row r="50" spans="2:39" ht="15" customHeight="1" x14ac:dyDescent="0.25">
      <c r="B50" s="288"/>
      <c r="C50" s="211"/>
      <c r="D50" s="212"/>
      <c r="E50" s="223"/>
      <c r="F50" s="211"/>
      <c r="G50" s="211"/>
      <c r="H50" s="211"/>
      <c r="I50" s="212"/>
      <c r="J50" s="45" t="str">
        <f>IF(AND('Mapa final'!$Y$36="Muy Baja",'Mapa final'!$AA$36="Leve"),CONCATENATE("R5C",'Mapa final'!$O$36),"")</f>
        <v/>
      </c>
      <c r="K50" s="46" t="str">
        <f>IF(AND('Mapa final'!$Y$37="Muy Baja",'Mapa final'!$AA$37="Leve"),CONCATENATE("R5C",'Mapa final'!$O$37),"")</f>
        <v/>
      </c>
      <c r="L50" s="46" t="str">
        <f>IF(AND('Mapa final'!$Y$38="Muy Baja",'Mapa final'!$AA$38="Leve"),CONCATENATE("R5C",'Mapa final'!$O$38),"")</f>
        <v/>
      </c>
      <c r="M50" s="46" t="e">
        <f>IF(AND('Mapa final'!#REF!="Muy Baja",'Mapa final'!#REF!="Leve"),CONCATENATE("R5C",'Mapa final'!#REF!),"")</f>
        <v>#REF!</v>
      </c>
      <c r="N50" s="46" t="e">
        <f>IF(AND('Mapa final'!#REF!="Muy Baja",'Mapa final'!#REF!="Leve"),CONCATENATE("R5C",'Mapa final'!#REF!),"")</f>
        <v>#REF!</v>
      </c>
      <c r="O50" s="47" t="e">
        <f>IF(AND('Mapa final'!#REF!="Muy Baja",'Mapa final'!#REF!="Leve"),CONCATENATE("R5C",'Mapa final'!#REF!),"")</f>
        <v>#REF!</v>
      </c>
      <c r="P50" s="45" t="str">
        <f>IF(AND('Mapa final'!$Y$36="Muy Baja",'Mapa final'!$AA$36="Menor"),CONCATENATE("R5C",'Mapa final'!$O$36),"")</f>
        <v/>
      </c>
      <c r="Q50" s="46" t="str">
        <f>IF(AND('Mapa final'!$Y$37="Muy Baja",'Mapa final'!$AA$37="Menor"),CONCATENATE("R5C",'Mapa final'!$O$37),"")</f>
        <v/>
      </c>
      <c r="R50" s="46" t="str">
        <f>IF(AND('Mapa final'!$Y$38="Muy Baja",'Mapa final'!$AA$38="Menor"),CONCATENATE("R5C",'Mapa final'!$O$38),"")</f>
        <v/>
      </c>
      <c r="S50" s="46" t="e">
        <f>IF(AND('Mapa final'!#REF!="Muy Baja",'Mapa final'!#REF!="Menor"),CONCATENATE("R5C",'Mapa final'!#REF!),"")</f>
        <v>#REF!</v>
      </c>
      <c r="T50" s="46" t="e">
        <f>IF(AND('Mapa final'!#REF!="Muy Baja",'Mapa final'!#REF!="Menor"),CONCATENATE("R5C",'Mapa final'!#REF!),"")</f>
        <v>#REF!</v>
      </c>
      <c r="U50" s="47" t="e">
        <f>IF(AND('Mapa final'!#REF!="Muy Baja",'Mapa final'!#REF!="Menor"),CONCATENATE("R5C",'Mapa final'!#REF!),"")</f>
        <v>#REF!</v>
      </c>
      <c r="V50" s="36" t="str">
        <f>IF(AND('Mapa final'!$Y$36="Muy Baja",'Mapa final'!$AA$36="Moderado"),CONCATENATE("R5C",'Mapa final'!$O$36),"")</f>
        <v/>
      </c>
      <c r="W50" s="37" t="str">
        <f>IF(AND('Mapa final'!$Y$37="Muy Baja",'Mapa final'!$AA$37="Moderado"),CONCATENATE("R5C",'Mapa final'!$O$37),"")</f>
        <v/>
      </c>
      <c r="X50" s="37" t="str">
        <f>IF(AND('Mapa final'!$Y$38="Muy Baja",'Mapa final'!$AA$38="Moderado"),CONCATENATE("R5C",'Mapa final'!$O$38),"")</f>
        <v/>
      </c>
      <c r="Y50" s="37" t="e">
        <f>IF(AND('Mapa final'!#REF!="Muy Baja",'Mapa final'!#REF!="Moderado"),CONCATENATE("R5C",'Mapa final'!#REF!),"")</f>
        <v>#REF!</v>
      </c>
      <c r="Z50" s="37" t="e">
        <f>IF(AND('Mapa final'!#REF!="Muy Baja",'Mapa final'!#REF!="Moderado"),CONCATENATE("R5C",'Mapa final'!#REF!),"")</f>
        <v>#REF!</v>
      </c>
      <c r="AA50" s="38" t="e">
        <f>IF(AND('Mapa final'!#REF!="Muy Baja",'Mapa final'!#REF!="Moderado"),CONCATENATE("R5C",'Mapa final'!#REF!),"")</f>
        <v>#REF!</v>
      </c>
      <c r="AB50" s="21" t="str">
        <f>IF(AND('Mapa final'!$Y$36="Muy Baja",'Mapa final'!$AA$36="Mayor"),CONCATENATE("R5C",'Mapa final'!$O$36),"")</f>
        <v/>
      </c>
      <c r="AC50" s="22" t="str">
        <f>IF(AND('Mapa final'!$Y$37="Muy Baja",'Mapa final'!$AA$37="Mayor"),CONCATENATE("R5C",'Mapa final'!$O$37),"")</f>
        <v/>
      </c>
      <c r="AD50" s="22" t="str">
        <f>IF(AND('Mapa final'!$Y$38="Muy Baja",'Mapa final'!$AA$38="Mayor"),CONCATENATE("R5C",'Mapa final'!$O$38),"")</f>
        <v/>
      </c>
      <c r="AE50" s="22" t="e">
        <f>IF(AND('Mapa final'!#REF!="Muy Baja",'Mapa final'!#REF!="Mayor"),CONCATENATE("R5C",'Mapa final'!#REF!),"")</f>
        <v>#REF!</v>
      </c>
      <c r="AF50" s="22" t="e">
        <f>IF(AND('Mapa final'!#REF!="Muy Baja",'Mapa final'!#REF!="Mayor"),CONCATENATE("R5C",'Mapa final'!#REF!),"")</f>
        <v>#REF!</v>
      </c>
      <c r="AG50" s="23" t="e">
        <f>IF(AND('Mapa final'!#REF!="Muy Baja",'Mapa final'!#REF!="Mayor"),CONCATENATE("R5C",'Mapa final'!#REF!),"")</f>
        <v>#REF!</v>
      </c>
      <c r="AH50" s="24" t="str">
        <f>IF(AND('Mapa final'!$Y$36="Muy Baja",'Mapa final'!$AA$36="Catastrófico"),CONCATENATE("R5C",'Mapa final'!$O$36),"")</f>
        <v/>
      </c>
      <c r="AI50" s="25" t="str">
        <f>IF(AND('Mapa final'!$Y$37="Muy Baja",'Mapa final'!$AA$37="Catastrófico"),CONCATENATE("R5C",'Mapa final'!$O$37),"")</f>
        <v/>
      </c>
      <c r="AJ50" s="25" t="str">
        <f>IF(AND('Mapa final'!$Y$38="Muy Baja",'Mapa final'!$AA$38="Catastrófico"),CONCATENATE("R5C",'Mapa final'!$O$38),"")</f>
        <v/>
      </c>
      <c r="AK50" s="25" t="e">
        <f>IF(AND('Mapa final'!#REF!="Muy Baja",'Mapa final'!#REF!="Catastrófico"),CONCATENATE("R5C",'Mapa final'!#REF!),"")</f>
        <v>#REF!</v>
      </c>
      <c r="AL50" s="25" t="e">
        <f>IF(AND('Mapa final'!#REF!="Muy Baja",'Mapa final'!#REF!="Catastrófico"),CONCATENATE("R5C",'Mapa final'!#REF!),"")</f>
        <v>#REF!</v>
      </c>
      <c r="AM50" s="26" t="e">
        <f>IF(AND('Mapa final'!#REF!="Muy Baja",'Mapa final'!#REF!="Catastrófico"),CONCATENATE("R5C",'Mapa final'!#REF!),"")</f>
        <v>#REF!</v>
      </c>
    </row>
    <row r="51" spans="2:39" ht="15" customHeight="1" x14ac:dyDescent="0.25">
      <c r="B51" s="288"/>
      <c r="C51" s="211"/>
      <c r="D51" s="212"/>
      <c r="E51" s="223"/>
      <c r="F51" s="211"/>
      <c r="G51" s="211"/>
      <c r="H51" s="211"/>
      <c r="I51" s="212"/>
      <c r="J51" s="45" t="str">
        <f>IF(AND('Mapa final'!$Y$41="Muy Baja",'Mapa final'!$AA$41="Leve"),CONCATENATE("R6C",'Mapa final'!$O$41),"")</f>
        <v/>
      </c>
      <c r="K51" s="46" t="str">
        <f>IF(AND('Mapa final'!$Y$42="Muy Baja",'Mapa final'!$AA$42="Leve"),CONCATENATE("R6C",'Mapa final'!$O$42),"")</f>
        <v/>
      </c>
      <c r="L51" s="46" t="str">
        <f>IF(AND('Mapa final'!$Y$43="Muy Baja",'Mapa final'!$AA$43="Leve"),CONCATENATE("R6C",'Mapa final'!$O$43),"")</f>
        <v/>
      </c>
      <c r="M51" s="46" t="e">
        <f>IF(AND('Mapa final'!#REF!="Muy Baja",'Mapa final'!#REF!="Leve"),CONCATENATE("R6C",'Mapa final'!#REF!),"")</f>
        <v>#REF!</v>
      </c>
      <c r="N51" s="46" t="e">
        <f>IF(AND('Mapa final'!#REF!="Muy Baja",'Mapa final'!#REF!="Leve"),CONCATENATE("R6C",'Mapa final'!#REF!),"")</f>
        <v>#REF!</v>
      </c>
      <c r="O51" s="47" t="e">
        <f>IF(AND('Mapa final'!#REF!="Muy Baja",'Mapa final'!#REF!="Leve"),CONCATENATE("R6C",'Mapa final'!#REF!),"")</f>
        <v>#REF!</v>
      </c>
      <c r="P51" s="45" t="str">
        <f>IF(AND('Mapa final'!$Y$41="Muy Baja",'Mapa final'!$AA$41="Menor"),CONCATENATE("R6C",'Mapa final'!$O$41),"")</f>
        <v/>
      </c>
      <c r="Q51" s="46" t="str">
        <f>IF(AND('Mapa final'!$Y$42="Muy Baja",'Mapa final'!$AA$42="Menor"),CONCATENATE("R6C",'Mapa final'!$O$42),"")</f>
        <v/>
      </c>
      <c r="R51" s="46" t="str">
        <f>IF(AND('Mapa final'!$Y$43="Muy Baja",'Mapa final'!$AA$43="Menor"),CONCATENATE("R6C",'Mapa final'!$O$43),"")</f>
        <v/>
      </c>
      <c r="S51" s="46" t="e">
        <f>IF(AND('Mapa final'!#REF!="Muy Baja",'Mapa final'!#REF!="Menor"),CONCATENATE("R6C",'Mapa final'!#REF!),"")</f>
        <v>#REF!</v>
      </c>
      <c r="T51" s="46" t="e">
        <f>IF(AND('Mapa final'!#REF!="Muy Baja",'Mapa final'!#REF!="Menor"),CONCATENATE("R6C",'Mapa final'!#REF!),"")</f>
        <v>#REF!</v>
      </c>
      <c r="U51" s="47" t="e">
        <f>IF(AND('Mapa final'!#REF!="Muy Baja",'Mapa final'!#REF!="Menor"),CONCATENATE("R6C",'Mapa final'!#REF!),"")</f>
        <v>#REF!</v>
      </c>
      <c r="V51" s="36" t="str">
        <f>IF(AND('Mapa final'!$Y$41="Muy Baja",'Mapa final'!$AA$41="Moderado"),CONCATENATE("R6C",'Mapa final'!$O$41),"")</f>
        <v/>
      </c>
      <c r="W51" s="37" t="str">
        <f>IF(AND('Mapa final'!$Y$42="Muy Baja",'Mapa final'!$AA$42="Moderado"),CONCATENATE("R6C",'Mapa final'!$O$42),"")</f>
        <v/>
      </c>
      <c r="X51" s="37" t="str">
        <f>IF(AND('Mapa final'!$Y$43="Muy Baja",'Mapa final'!$AA$43="Moderado"),CONCATENATE("R6C",'Mapa final'!$O$43),"")</f>
        <v/>
      </c>
      <c r="Y51" s="37" t="e">
        <f>IF(AND('Mapa final'!#REF!="Muy Baja",'Mapa final'!#REF!="Moderado"),CONCATENATE("R6C",'Mapa final'!#REF!),"")</f>
        <v>#REF!</v>
      </c>
      <c r="Z51" s="37" t="e">
        <f>IF(AND('Mapa final'!#REF!="Muy Baja",'Mapa final'!#REF!="Moderado"),CONCATENATE("R6C",'Mapa final'!#REF!),"")</f>
        <v>#REF!</v>
      </c>
      <c r="AA51" s="38" t="e">
        <f>IF(AND('Mapa final'!#REF!="Muy Baja",'Mapa final'!#REF!="Moderado"),CONCATENATE("R6C",'Mapa final'!#REF!),"")</f>
        <v>#REF!</v>
      </c>
      <c r="AB51" s="21" t="str">
        <f>IF(AND('Mapa final'!$Y$41="Muy Baja",'Mapa final'!$AA$41="Mayor"),CONCATENATE("R6C",'Mapa final'!$O$41),"")</f>
        <v/>
      </c>
      <c r="AC51" s="22" t="str">
        <f>IF(AND('Mapa final'!$Y$42="Muy Baja",'Mapa final'!$AA$42="Mayor"),CONCATENATE("R6C",'Mapa final'!$O$42),"")</f>
        <v/>
      </c>
      <c r="AD51" s="22" t="str">
        <f>IF(AND('Mapa final'!$Y$43="Muy Baja",'Mapa final'!$AA$43="Mayor"),CONCATENATE("R6C",'Mapa final'!$O$43),"")</f>
        <v/>
      </c>
      <c r="AE51" s="22" t="e">
        <f>IF(AND('Mapa final'!#REF!="Muy Baja",'Mapa final'!#REF!="Mayor"),CONCATENATE("R6C",'Mapa final'!#REF!),"")</f>
        <v>#REF!</v>
      </c>
      <c r="AF51" s="22" t="e">
        <f>IF(AND('Mapa final'!#REF!="Muy Baja",'Mapa final'!#REF!="Mayor"),CONCATENATE("R6C",'Mapa final'!#REF!),"")</f>
        <v>#REF!</v>
      </c>
      <c r="AG51" s="23" t="e">
        <f>IF(AND('Mapa final'!#REF!="Muy Baja",'Mapa final'!#REF!="Mayor"),CONCATENATE("R6C",'Mapa final'!#REF!),"")</f>
        <v>#REF!</v>
      </c>
      <c r="AH51" s="24" t="str">
        <f>IF(AND('Mapa final'!$Y$41="Muy Baja",'Mapa final'!$AA$41="Catastrófico"),CONCATENATE("R6C",'Mapa final'!$O$41),"")</f>
        <v/>
      </c>
      <c r="AI51" s="25" t="str">
        <f>IF(AND('Mapa final'!$Y$42="Muy Baja",'Mapa final'!$AA$42="Catastrófico"),CONCATENATE("R6C",'Mapa final'!$O$42),"")</f>
        <v/>
      </c>
      <c r="AJ51" s="25" t="str">
        <f>IF(AND('Mapa final'!$Y$43="Muy Baja",'Mapa final'!$AA$43="Catastrófico"),CONCATENATE("R6C",'Mapa final'!$O$43),"")</f>
        <v/>
      </c>
      <c r="AK51" s="25" t="e">
        <f>IF(AND('Mapa final'!#REF!="Muy Baja",'Mapa final'!#REF!="Catastrófico"),CONCATENATE("R6C",'Mapa final'!#REF!),"")</f>
        <v>#REF!</v>
      </c>
      <c r="AL51" s="25" t="e">
        <f>IF(AND('Mapa final'!#REF!="Muy Baja",'Mapa final'!#REF!="Catastrófico"),CONCATENATE("R6C",'Mapa final'!#REF!),"")</f>
        <v>#REF!</v>
      </c>
      <c r="AM51" s="26" t="e">
        <f>IF(AND('Mapa final'!#REF!="Muy Baja",'Mapa final'!#REF!="Catastrófico"),CONCATENATE("R6C",'Mapa final'!#REF!),"")</f>
        <v>#REF!</v>
      </c>
    </row>
    <row r="52" spans="2:39" ht="15" customHeight="1" x14ac:dyDescent="0.25">
      <c r="B52" s="288"/>
      <c r="C52" s="211"/>
      <c r="D52" s="212"/>
      <c r="E52" s="223"/>
      <c r="F52" s="211"/>
      <c r="G52" s="211"/>
      <c r="H52" s="211"/>
      <c r="I52" s="212"/>
      <c r="J52" s="45" t="e">
        <f>IF(AND('Mapa final'!#REF!="Muy Baja",'Mapa final'!#REF!="Leve"),CONCATENATE("R7C",'Mapa final'!#REF!),"")</f>
        <v>#REF!</v>
      </c>
      <c r="K52" s="46" t="e">
        <f>IF(AND('Mapa final'!#REF!="Muy Baja",'Mapa final'!#REF!="Leve"),CONCATENATE("R7C",'Mapa final'!#REF!),"")</f>
        <v>#REF!</v>
      </c>
      <c r="L52" s="46" t="e">
        <f>IF(AND('Mapa final'!#REF!="Muy Baja",'Mapa final'!#REF!="Leve"),CONCATENATE("R7C",'Mapa final'!#REF!),"")</f>
        <v>#REF!</v>
      </c>
      <c r="M52" s="46" t="e">
        <f>IF(AND('Mapa final'!#REF!="Muy Baja",'Mapa final'!#REF!="Leve"),CONCATENATE("R7C",'Mapa final'!#REF!),"")</f>
        <v>#REF!</v>
      </c>
      <c r="N52" s="46" t="e">
        <f>IF(AND('Mapa final'!#REF!="Muy Baja",'Mapa final'!#REF!="Leve"),CONCATENATE("R7C",'Mapa final'!#REF!),"")</f>
        <v>#REF!</v>
      </c>
      <c r="O52" s="47" t="e">
        <f>IF(AND('Mapa final'!#REF!="Muy Baja",'Mapa final'!#REF!="Leve"),CONCATENATE("R7C",'Mapa final'!#REF!),"")</f>
        <v>#REF!</v>
      </c>
      <c r="P52" s="45" t="e">
        <f>IF(AND('Mapa final'!#REF!="Muy Baja",'Mapa final'!#REF!="Menor"),CONCATENATE("R7C",'Mapa final'!#REF!),"")</f>
        <v>#REF!</v>
      </c>
      <c r="Q52" s="46" t="e">
        <f>IF(AND('Mapa final'!#REF!="Muy Baja",'Mapa final'!#REF!="Menor"),CONCATENATE("R7C",'Mapa final'!#REF!),"")</f>
        <v>#REF!</v>
      </c>
      <c r="R52" s="46" t="e">
        <f>IF(AND('Mapa final'!#REF!="Muy Baja",'Mapa final'!#REF!="Menor"),CONCATENATE("R7C",'Mapa final'!#REF!),"")</f>
        <v>#REF!</v>
      </c>
      <c r="S52" s="46" t="e">
        <f>IF(AND('Mapa final'!#REF!="Muy Baja",'Mapa final'!#REF!="Menor"),CONCATENATE("R7C",'Mapa final'!#REF!),"")</f>
        <v>#REF!</v>
      </c>
      <c r="T52" s="46" t="e">
        <f>IF(AND('Mapa final'!#REF!="Muy Baja",'Mapa final'!#REF!="Menor"),CONCATENATE("R7C",'Mapa final'!#REF!),"")</f>
        <v>#REF!</v>
      </c>
      <c r="U52" s="47" t="e">
        <f>IF(AND('Mapa final'!#REF!="Muy Baja",'Mapa final'!#REF!="Menor"),CONCATENATE("R7C",'Mapa final'!#REF!),"")</f>
        <v>#REF!</v>
      </c>
      <c r="V52" s="36" t="e">
        <f>IF(AND('Mapa final'!#REF!="Muy Baja",'Mapa final'!#REF!="Moderado"),CONCATENATE("R7C",'Mapa final'!#REF!),"")</f>
        <v>#REF!</v>
      </c>
      <c r="W52" s="37" t="e">
        <f>IF(AND('Mapa final'!#REF!="Muy Baja",'Mapa final'!#REF!="Moderado"),CONCATENATE("R7C",'Mapa final'!#REF!),"")</f>
        <v>#REF!</v>
      </c>
      <c r="X52" s="37" t="e">
        <f>IF(AND('Mapa final'!#REF!="Muy Baja",'Mapa final'!#REF!="Moderado"),CONCATENATE("R7C",'Mapa final'!#REF!),"")</f>
        <v>#REF!</v>
      </c>
      <c r="Y52" s="37" t="e">
        <f>IF(AND('Mapa final'!#REF!="Muy Baja",'Mapa final'!#REF!="Moderado"),CONCATENATE("R7C",'Mapa final'!#REF!),"")</f>
        <v>#REF!</v>
      </c>
      <c r="Z52" s="37" t="e">
        <f>IF(AND('Mapa final'!#REF!="Muy Baja",'Mapa final'!#REF!="Moderado"),CONCATENATE("R7C",'Mapa final'!#REF!),"")</f>
        <v>#REF!</v>
      </c>
      <c r="AA52" s="38" t="e">
        <f>IF(AND('Mapa final'!#REF!="Muy Baja",'Mapa final'!#REF!="Moderado"),CONCATENATE("R7C",'Mapa final'!#REF!),"")</f>
        <v>#REF!</v>
      </c>
      <c r="AB52" s="21" t="e">
        <f>IF(AND('Mapa final'!#REF!="Muy Baja",'Mapa final'!#REF!="Mayor"),CONCATENATE("R7C",'Mapa final'!#REF!),"")</f>
        <v>#REF!</v>
      </c>
      <c r="AC52" s="22" t="e">
        <f>IF(AND('Mapa final'!#REF!="Muy Baja",'Mapa final'!#REF!="Mayor"),CONCATENATE("R7C",'Mapa final'!#REF!),"")</f>
        <v>#REF!</v>
      </c>
      <c r="AD52" s="22" t="e">
        <f>IF(AND('Mapa final'!#REF!="Muy Baja",'Mapa final'!#REF!="Mayor"),CONCATENATE("R7C",'Mapa final'!#REF!),"")</f>
        <v>#REF!</v>
      </c>
      <c r="AE52" s="22" t="e">
        <f>IF(AND('Mapa final'!#REF!="Muy Baja",'Mapa final'!#REF!="Mayor"),CONCATENATE("R7C",'Mapa final'!#REF!),"")</f>
        <v>#REF!</v>
      </c>
      <c r="AF52" s="22" t="e">
        <f>IF(AND('Mapa final'!#REF!="Muy Baja",'Mapa final'!#REF!="Mayor"),CONCATENATE("R7C",'Mapa final'!#REF!),"")</f>
        <v>#REF!</v>
      </c>
      <c r="AG52" s="23" t="e">
        <f>IF(AND('Mapa final'!#REF!="Muy Baja",'Mapa final'!#REF!="Mayor"),CONCATENATE("R7C",'Mapa final'!#REF!),"")</f>
        <v>#REF!</v>
      </c>
      <c r="AH52" s="24" t="e">
        <f>IF(AND('Mapa final'!#REF!="Muy Baja",'Mapa final'!#REF!="Catastrófico"),CONCATENATE("R7C",'Mapa final'!#REF!),"")</f>
        <v>#REF!</v>
      </c>
      <c r="AI52" s="25" t="e">
        <f>IF(AND('Mapa final'!#REF!="Muy Baja",'Mapa final'!#REF!="Catastrófico"),CONCATENATE("R7C",'Mapa final'!#REF!),"")</f>
        <v>#REF!</v>
      </c>
      <c r="AJ52" s="25" t="e">
        <f>IF(AND('Mapa final'!#REF!="Muy Baja",'Mapa final'!#REF!="Catastrófico"),CONCATENATE("R7C",'Mapa final'!#REF!),"")</f>
        <v>#REF!</v>
      </c>
      <c r="AK52" s="25" t="e">
        <f>IF(AND('Mapa final'!#REF!="Muy Baja",'Mapa final'!#REF!="Catastrófico"),CONCATENATE("R7C",'Mapa final'!#REF!),"")</f>
        <v>#REF!</v>
      </c>
      <c r="AL52" s="25" t="e">
        <f>IF(AND('Mapa final'!#REF!="Muy Baja",'Mapa final'!#REF!="Catastrófico"),CONCATENATE("R7C",'Mapa final'!#REF!),"")</f>
        <v>#REF!</v>
      </c>
      <c r="AM52" s="26" t="e">
        <f>IF(AND('Mapa final'!#REF!="Muy Baja",'Mapa final'!#REF!="Catastrófico"),CONCATENATE("R7C",'Mapa final'!#REF!),"")</f>
        <v>#REF!</v>
      </c>
    </row>
    <row r="53" spans="2:39" ht="15" customHeight="1" x14ac:dyDescent="0.25">
      <c r="B53" s="288"/>
      <c r="C53" s="211"/>
      <c r="D53" s="212"/>
      <c r="E53" s="223"/>
      <c r="F53" s="211"/>
      <c r="G53" s="211"/>
      <c r="H53" s="211"/>
      <c r="I53" s="212"/>
      <c r="J53" s="45" t="e">
        <f>IF(AND('Mapa final'!#REF!="Muy Baja",'Mapa final'!#REF!="Leve"),CONCATENATE("R8C",'Mapa final'!#REF!),"")</f>
        <v>#REF!</v>
      </c>
      <c r="K53" s="46" t="e">
        <f>IF(AND('Mapa final'!#REF!="Muy Baja",'Mapa final'!#REF!="Leve"),CONCATENATE("R8C",'Mapa final'!#REF!),"")</f>
        <v>#REF!</v>
      </c>
      <c r="L53" s="46" t="e">
        <f>IF(AND('Mapa final'!#REF!="Muy Baja",'Mapa final'!#REF!="Leve"),CONCATENATE("R8C",'Mapa final'!#REF!),"")</f>
        <v>#REF!</v>
      </c>
      <c r="M53" s="46" t="e">
        <f>IF(AND('Mapa final'!#REF!="Muy Baja",'Mapa final'!#REF!="Leve"),CONCATENATE("R8C",'Mapa final'!#REF!),"")</f>
        <v>#REF!</v>
      </c>
      <c r="N53" s="46" t="e">
        <f>IF(AND('Mapa final'!#REF!="Muy Baja",'Mapa final'!#REF!="Leve"),CONCATENATE("R8C",'Mapa final'!#REF!),"")</f>
        <v>#REF!</v>
      </c>
      <c r="O53" s="47" t="e">
        <f>IF(AND('Mapa final'!#REF!="Muy Baja",'Mapa final'!#REF!="Leve"),CONCATENATE("R8C",'Mapa final'!#REF!),"")</f>
        <v>#REF!</v>
      </c>
      <c r="P53" s="45" t="e">
        <f>IF(AND('Mapa final'!#REF!="Muy Baja",'Mapa final'!#REF!="Menor"),CONCATENATE("R8C",'Mapa final'!#REF!),"")</f>
        <v>#REF!</v>
      </c>
      <c r="Q53" s="46" t="e">
        <f>IF(AND('Mapa final'!#REF!="Muy Baja",'Mapa final'!#REF!="Menor"),CONCATENATE("R8C",'Mapa final'!#REF!),"")</f>
        <v>#REF!</v>
      </c>
      <c r="R53" s="46" t="e">
        <f>IF(AND('Mapa final'!#REF!="Muy Baja",'Mapa final'!#REF!="Menor"),CONCATENATE("R8C",'Mapa final'!#REF!),"")</f>
        <v>#REF!</v>
      </c>
      <c r="S53" s="46" t="e">
        <f>IF(AND('Mapa final'!#REF!="Muy Baja",'Mapa final'!#REF!="Menor"),CONCATENATE("R8C",'Mapa final'!#REF!),"")</f>
        <v>#REF!</v>
      </c>
      <c r="T53" s="46" t="e">
        <f>IF(AND('Mapa final'!#REF!="Muy Baja",'Mapa final'!#REF!="Menor"),CONCATENATE("R8C",'Mapa final'!#REF!),"")</f>
        <v>#REF!</v>
      </c>
      <c r="U53" s="47" t="e">
        <f>IF(AND('Mapa final'!#REF!="Muy Baja",'Mapa final'!#REF!="Menor"),CONCATENATE("R8C",'Mapa final'!#REF!),"")</f>
        <v>#REF!</v>
      </c>
      <c r="V53" s="36" t="e">
        <f>IF(AND('Mapa final'!#REF!="Muy Baja",'Mapa final'!#REF!="Moderado"),CONCATENATE("R8C",'Mapa final'!#REF!),"")</f>
        <v>#REF!</v>
      </c>
      <c r="W53" s="37" t="e">
        <f>IF(AND('Mapa final'!#REF!="Muy Baja",'Mapa final'!#REF!="Moderado"),CONCATENATE("R8C",'Mapa final'!#REF!),"")</f>
        <v>#REF!</v>
      </c>
      <c r="X53" s="37" t="e">
        <f>IF(AND('Mapa final'!#REF!="Muy Baja",'Mapa final'!#REF!="Moderado"),CONCATENATE("R8C",'Mapa final'!#REF!),"")</f>
        <v>#REF!</v>
      </c>
      <c r="Y53" s="37" t="e">
        <f>IF(AND('Mapa final'!#REF!="Muy Baja",'Mapa final'!#REF!="Moderado"),CONCATENATE("R8C",'Mapa final'!#REF!),"")</f>
        <v>#REF!</v>
      </c>
      <c r="Z53" s="37" t="e">
        <f>IF(AND('Mapa final'!#REF!="Muy Baja",'Mapa final'!#REF!="Moderado"),CONCATENATE("R8C",'Mapa final'!#REF!),"")</f>
        <v>#REF!</v>
      </c>
      <c r="AA53" s="38" t="e">
        <f>IF(AND('Mapa final'!#REF!="Muy Baja",'Mapa final'!#REF!="Moderado"),CONCATENATE("R8C",'Mapa final'!#REF!),"")</f>
        <v>#REF!</v>
      </c>
      <c r="AB53" s="21" t="e">
        <f>IF(AND('Mapa final'!#REF!="Muy Baja",'Mapa final'!#REF!="Mayor"),CONCATENATE("R8C",'Mapa final'!#REF!),"")</f>
        <v>#REF!</v>
      </c>
      <c r="AC53" s="22" t="e">
        <f>IF(AND('Mapa final'!#REF!="Muy Baja",'Mapa final'!#REF!="Mayor"),CONCATENATE("R8C",'Mapa final'!#REF!),"")</f>
        <v>#REF!</v>
      </c>
      <c r="AD53" s="22" t="e">
        <f>IF(AND('Mapa final'!#REF!="Muy Baja",'Mapa final'!#REF!="Mayor"),CONCATENATE("R8C",'Mapa final'!#REF!),"")</f>
        <v>#REF!</v>
      </c>
      <c r="AE53" s="22" t="e">
        <f>IF(AND('Mapa final'!#REF!="Muy Baja",'Mapa final'!#REF!="Mayor"),CONCATENATE("R8C",'Mapa final'!#REF!),"")</f>
        <v>#REF!</v>
      </c>
      <c r="AF53" s="22" t="e">
        <f>IF(AND('Mapa final'!#REF!="Muy Baja",'Mapa final'!#REF!="Mayor"),CONCATENATE("R8C",'Mapa final'!#REF!),"")</f>
        <v>#REF!</v>
      </c>
      <c r="AG53" s="23" t="e">
        <f>IF(AND('Mapa final'!#REF!="Muy Baja",'Mapa final'!#REF!="Mayor"),CONCATENATE("R8C",'Mapa final'!#REF!),"")</f>
        <v>#REF!</v>
      </c>
      <c r="AH53" s="24" t="e">
        <f>IF(AND('Mapa final'!#REF!="Muy Baja",'Mapa final'!#REF!="Catastrófico"),CONCATENATE("R8C",'Mapa final'!#REF!),"")</f>
        <v>#REF!</v>
      </c>
      <c r="AI53" s="25" t="e">
        <f>IF(AND('Mapa final'!#REF!="Muy Baja",'Mapa final'!#REF!="Catastrófico"),CONCATENATE("R8C",'Mapa final'!#REF!),"")</f>
        <v>#REF!</v>
      </c>
      <c r="AJ53" s="25" t="e">
        <f>IF(AND('Mapa final'!#REF!="Muy Baja",'Mapa final'!#REF!="Catastrófico"),CONCATENATE("R8C",'Mapa final'!#REF!),"")</f>
        <v>#REF!</v>
      </c>
      <c r="AK53" s="25" t="e">
        <f>IF(AND('Mapa final'!#REF!="Muy Baja",'Mapa final'!#REF!="Catastrófico"),CONCATENATE("R8C",'Mapa final'!#REF!),"")</f>
        <v>#REF!</v>
      </c>
      <c r="AL53" s="25" t="e">
        <f>IF(AND('Mapa final'!#REF!="Muy Baja",'Mapa final'!#REF!="Catastrófico"),CONCATENATE("R8C",'Mapa final'!#REF!),"")</f>
        <v>#REF!</v>
      </c>
      <c r="AM53" s="26" t="e">
        <f>IF(AND('Mapa final'!#REF!="Muy Baja",'Mapa final'!#REF!="Catastrófico"),CONCATENATE("R8C",'Mapa final'!#REF!),"")</f>
        <v>#REF!</v>
      </c>
    </row>
    <row r="54" spans="2:39" ht="15" customHeight="1" x14ac:dyDescent="0.25">
      <c r="B54" s="288"/>
      <c r="C54" s="211"/>
      <c r="D54" s="212"/>
      <c r="E54" s="223"/>
      <c r="F54" s="211"/>
      <c r="G54" s="211"/>
      <c r="H54" s="211"/>
      <c r="I54" s="212"/>
      <c r="J54" s="45" t="e">
        <f>IF(AND('Mapa final'!#REF!="Muy Baja",'Mapa final'!#REF!="Leve"),CONCATENATE("R9C",'Mapa final'!#REF!),"")</f>
        <v>#REF!</v>
      </c>
      <c r="K54" s="46" t="e">
        <f>IF(AND('Mapa final'!#REF!="Muy Baja",'Mapa final'!#REF!="Leve"),CONCATENATE("R9C",'Mapa final'!#REF!),"")</f>
        <v>#REF!</v>
      </c>
      <c r="L54" s="46" t="e">
        <f>IF(AND('Mapa final'!#REF!="Muy Baja",'Mapa final'!#REF!="Leve"),CONCATENATE("R9C",'Mapa final'!#REF!),"")</f>
        <v>#REF!</v>
      </c>
      <c r="M54" s="46" t="e">
        <f>IF(AND('Mapa final'!#REF!="Muy Baja",'Mapa final'!#REF!="Leve"),CONCATENATE("R9C",'Mapa final'!#REF!),"")</f>
        <v>#REF!</v>
      </c>
      <c r="N54" s="46" t="e">
        <f>IF(AND('Mapa final'!#REF!="Muy Baja",'Mapa final'!#REF!="Leve"),CONCATENATE("R9C",'Mapa final'!#REF!),"")</f>
        <v>#REF!</v>
      </c>
      <c r="O54" s="47" t="e">
        <f>IF(AND('Mapa final'!#REF!="Muy Baja",'Mapa final'!#REF!="Leve"),CONCATENATE("R9C",'Mapa final'!#REF!),"")</f>
        <v>#REF!</v>
      </c>
      <c r="P54" s="45" t="e">
        <f>IF(AND('Mapa final'!#REF!="Muy Baja",'Mapa final'!#REF!="Menor"),CONCATENATE("R9C",'Mapa final'!#REF!),"")</f>
        <v>#REF!</v>
      </c>
      <c r="Q54" s="46" t="e">
        <f>IF(AND('Mapa final'!#REF!="Muy Baja",'Mapa final'!#REF!="Menor"),CONCATENATE("R9C",'Mapa final'!#REF!),"")</f>
        <v>#REF!</v>
      </c>
      <c r="R54" s="46" t="e">
        <f>IF(AND('Mapa final'!#REF!="Muy Baja",'Mapa final'!#REF!="Menor"),CONCATENATE("R9C",'Mapa final'!#REF!),"")</f>
        <v>#REF!</v>
      </c>
      <c r="S54" s="46" t="e">
        <f>IF(AND('Mapa final'!#REF!="Muy Baja",'Mapa final'!#REF!="Menor"),CONCATENATE("R9C",'Mapa final'!#REF!),"")</f>
        <v>#REF!</v>
      </c>
      <c r="T54" s="46" t="e">
        <f>IF(AND('Mapa final'!#REF!="Muy Baja",'Mapa final'!#REF!="Menor"),CONCATENATE("R9C",'Mapa final'!#REF!),"")</f>
        <v>#REF!</v>
      </c>
      <c r="U54" s="47" t="e">
        <f>IF(AND('Mapa final'!#REF!="Muy Baja",'Mapa final'!#REF!="Menor"),CONCATENATE("R9C",'Mapa final'!#REF!),"")</f>
        <v>#REF!</v>
      </c>
      <c r="V54" s="36" t="e">
        <f>IF(AND('Mapa final'!#REF!="Muy Baja",'Mapa final'!#REF!="Moderado"),CONCATENATE("R9C",'Mapa final'!#REF!),"")</f>
        <v>#REF!</v>
      </c>
      <c r="W54" s="37" t="e">
        <f>IF(AND('Mapa final'!#REF!="Muy Baja",'Mapa final'!#REF!="Moderado"),CONCATENATE("R9C",'Mapa final'!#REF!),"")</f>
        <v>#REF!</v>
      </c>
      <c r="X54" s="37" t="e">
        <f>IF(AND('Mapa final'!#REF!="Muy Baja",'Mapa final'!#REF!="Moderado"),CONCATENATE("R9C",'Mapa final'!#REF!),"")</f>
        <v>#REF!</v>
      </c>
      <c r="Y54" s="37" t="e">
        <f>IF(AND('Mapa final'!#REF!="Muy Baja",'Mapa final'!#REF!="Moderado"),CONCATENATE("R9C",'Mapa final'!#REF!),"")</f>
        <v>#REF!</v>
      </c>
      <c r="Z54" s="37" t="e">
        <f>IF(AND('Mapa final'!#REF!="Muy Baja",'Mapa final'!#REF!="Moderado"),CONCATENATE("R9C",'Mapa final'!#REF!),"")</f>
        <v>#REF!</v>
      </c>
      <c r="AA54" s="38" t="e">
        <f>IF(AND('Mapa final'!#REF!="Muy Baja",'Mapa final'!#REF!="Moderado"),CONCATENATE("R9C",'Mapa final'!#REF!),"")</f>
        <v>#REF!</v>
      </c>
      <c r="AB54" s="21" t="e">
        <f>IF(AND('Mapa final'!#REF!="Muy Baja",'Mapa final'!#REF!="Mayor"),CONCATENATE("R9C",'Mapa final'!#REF!),"")</f>
        <v>#REF!</v>
      </c>
      <c r="AC54" s="22" t="e">
        <f>IF(AND('Mapa final'!#REF!="Muy Baja",'Mapa final'!#REF!="Mayor"),CONCATENATE("R9C",'Mapa final'!#REF!),"")</f>
        <v>#REF!</v>
      </c>
      <c r="AD54" s="22" t="e">
        <f>IF(AND('Mapa final'!#REF!="Muy Baja",'Mapa final'!#REF!="Mayor"),CONCATENATE("R9C",'Mapa final'!#REF!),"")</f>
        <v>#REF!</v>
      </c>
      <c r="AE54" s="22" t="e">
        <f>IF(AND('Mapa final'!#REF!="Muy Baja",'Mapa final'!#REF!="Mayor"),CONCATENATE("R9C",'Mapa final'!#REF!),"")</f>
        <v>#REF!</v>
      </c>
      <c r="AF54" s="22" t="e">
        <f>IF(AND('Mapa final'!#REF!="Muy Baja",'Mapa final'!#REF!="Mayor"),CONCATENATE("R9C",'Mapa final'!#REF!),"")</f>
        <v>#REF!</v>
      </c>
      <c r="AG54" s="23" t="e">
        <f>IF(AND('Mapa final'!#REF!="Muy Baja",'Mapa final'!#REF!="Mayor"),CONCATENATE("R9C",'Mapa final'!#REF!),"")</f>
        <v>#REF!</v>
      </c>
      <c r="AH54" s="24" t="e">
        <f>IF(AND('Mapa final'!#REF!="Muy Baja",'Mapa final'!#REF!="Catastrófico"),CONCATENATE("R9C",'Mapa final'!#REF!),"")</f>
        <v>#REF!</v>
      </c>
      <c r="AI54" s="25" t="e">
        <f>IF(AND('Mapa final'!#REF!="Muy Baja",'Mapa final'!#REF!="Catastrófico"),CONCATENATE("R9C",'Mapa final'!#REF!),"")</f>
        <v>#REF!</v>
      </c>
      <c r="AJ54" s="25" t="e">
        <f>IF(AND('Mapa final'!#REF!="Muy Baja",'Mapa final'!#REF!="Catastrófico"),CONCATENATE("R9C",'Mapa final'!#REF!),"")</f>
        <v>#REF!</v>
      </c>
      <c r="AK54" s="25" t="e">
        <f>IF(AND('Mapa final'!#REF!="Muy Baja",'Mapa final'!#REF!="Catastrófico"),CONCATENATE("R9C",'Mapa final'!#REF!),"")</f>
        <v>#REF!</v>
      </c>
      <c r="AL54" s="25" t="e">
        <f>IF(AND('Mapa final'!#REF!="Muy Baja",'Mapa final'!#REF!="Catastrófico"),CONCATENATE("R9C",'Mapa final'!#REF!),"")</f>
        <v>#REF!</v>
      </c>
      <c r="AM54" s="26" t="e">
        <f>IF(AND('Mapa final'!#REF!="Muy Baja",'Mapa final'!#REF!="Catastrófico"),CONCATENATE("R9C",'Mapa final'!#REF!),"")</f>
        <v>#REF!</v>
      </c>
    </row>
    <row r="55" spans="2:39" ht="15.75" customHeight="1" x14ac:dyDescent="0.25">
      <c r="B55" s="245"/>
      <c r="C55" s="290"/>
      <c r="D55" s="246"/>
      <c r="E55" s="257"/>
      <c r="F55" s="281"/>
      <c r="G55" s="281"/>
      <c r="H55" s="281"/>
      <c r="I55" s="260"/>
      <c r="J55" s="48" t="e">
        <f>IF(AND('Mapa final'!#REF!="Muy Baja",'Mapa final'!#REF!="Leve"),CONCATENATE("R10C",'Mapa final'!#REF!),"")</f>
        <v>#REF!</v>
      </c>
      <c r="K55" s="49" t="e">
        <f>IF(AND('Mapa final'!#REF!="Muy Baja",'Mapa final'!#REF!="Leve"),CONCATENATE("R10C",'Mapa final'!#REF!),"")</f>
        <v>#REF!</v>
      </c>
      <c r="L55" s="49" t="e">
        <f>IF(AND('Mapa final'!#REF!="Muy Baja",'Mapa final'!#REF!="Leve"),CONCATENATE("R10C",'Mapa final'!#REF!),"")</f>
        <v>#REF!</v>
      </c>
      <c r="M55" s="49" t="e">
        <f>IF(AND('Mapa final'!#REF!="Muy Baja",'Mapa final'!#REF!="Leve"),CONCATENATE("R10C",'Mapa final'!#REF!),"")</f>
        <v>#REF!</v>
      </c>
      <c r="N55" s="49" t="e">
        <f>IF(AND('Mapa final'!#REF!="Muy Baja",'Mapa final'!#REF!="Leve"),CONCATENATE("R10C",'Mapa final'!#REF!),"")</f>
        <v>#REF!</v>
      </c>
      <c r="O55" s="50" t="e">
        <f>IF(AND('Mapa final'!#REF!="Muy Baja",'Mapa final'!#REF!="Leve"),CONCATENATE("R10C",'Mapa final'!#REF!),"")</f>
        <v>#REF!</v>
      </c>
      <c r="P55" s="48" t="e">
        <f>IF(AND('Mapa final'!#REF!="Muy Baja",'Mapa final'!#REF!="Menor"),CONCATENATE("R10C",'Mapa final'!#REF!),"")</f>
        <v>#REF!</v>
      </c>
      <c r="Q55" s="49" t="e">
        <f>IF(AND('Mapa final'!#REF!="Muy Baja",'Mapa final'!#REF!="Menor"),CONCATENATE("R10C",'Mapa final'!#REF!),"")</f>
        <v>#REF!</v>
      </c>
      <c r="R55" s="49" t="e">
        <f>IF(AND('Mapa final'!#REF!="Muy Baja",'Mapa final'!#REF!="Menor"),CONCATENATE("R10C",'Mapa final'!#REF!),"")</f>
        <v>#REF!</v>
      </c>
      <c r="S55" s="49" t="e">
        <f>IF(AND('Mapa final'!#REF!="Muy Baja",'Mapa final'!#REF!="Menor"),CONCATENATE("R10C",'Mapa final'!#REF!),"")</f>
        <v>#REF!</v>
      </c>
      <c r="T55" s="49" t="e">
        <f>IF(AND('Mapa final'!#REF!="Muy Baja",'Mapa final'!#REF!="Menor"),CONCATENATE("R10C",'Mapa final'!#REF!),"")</f>
        <v>#REF!</v>
      </c>
      <c r="U55" s="50" t="e">
        <f>IF(AND('Mapa final'!#REF!="Muy Baja",'Mapa final'!#REF!="Menor"),CONCATENATE("R10C",'Mapa final'!#REF!),"")</f>
        <v>#REF!</v>
      </c>
      <c r="V55" s="39" t="e">
        <f>IF(AND('Mapa final'!#REF!="Muy Baja",'Mapa final'!#REF!="Moderado"),CONCATENATE("R10C",'Mapa final'!#REF!),"")</f>
        <v>#REF!</v>
      </c>
      <c r="W55" s="40" t="e">
        <f>IF(AND('Mapa final'!#REF!="Muy Baja",'Mapa final'!#REF!="Moderado"),CONCATENATE("R10C",'Mapa final'!#REF!),"")</f>
        <v>#REF!</v>
      </c>
      <c r="X55" s="40" t="e">
        <f>IF(AND('Mapa final'!#REF!="Muy Baja",'Mapa final'!#REF!="Moderado"),CONCATENATE("R10C",'Mapa final'!#REF!),"")</f>
        <v>#REF!</v>
      </c>
      <c r="Y55" s="40" t="e">
        <f>IF(AND('Mapa final'!#REF!="Muy Baja",'Mapa final'!#REF!="Moderado"),CONCATENATE("R10C",'Mapa final'!#REF!),"")</f>
        <v>#REF!</v>
      </c>
      <c r="Z55" s="40" t="e">
        <f>IF(AND('Mapa final'!#REF!="Muy Baja",'Mapa final'!#REF!="Moderado"),CONCATENATE("R10C",'Mapa final'!#REF!),"")</f>
        <v>#REF!</v>
      </c>
      <c r="AA55" s="41" t="e">
        <f>IF(AND('Mapa final'!#REF!="Muy Baja",'Mapa final'!#REF!="Moderado"),CONCATENATE("R10C",'Mapa final'!#REF!),"")</f>
        <v>#REF!</v>
      </c>
      <c r="AB55" s="27" t="e">
        <f>IF(AND('Mapa final'!#REF!="Muy Baja",'Mapa final'!#REF!="Mayor"),CONCATENATE("R10C",'Mapa final'!#REF!),"")</f>
        <v>#REF!</v>
      </c>
      <c r="AC55" s="28" t="e">
        <f>IF(AND('Mapa final'!#REF!="Muy Baja",'Mapa final'!#REF!="Mayor"),CONCATENATE("R10C",'Mapa final'!#REF!),"")</f>
        <v>#REF!</v>
      </c>
      <c r="AD55" s="28" t="e">
        <f>IF(AND('Mapa final'!#REF!="Muy Baja",'Mapa final'!#REF!="Mayor"),CONCATENATE("R10C",'Mapa final'!#REF!),"")</f>
        <v>#REF!</v>
      </c>
      <c r="AE55" s="28" t="e">
        <f>IF(AND('Mapa final'!#REF!="Muy Baja",'Mapa final'!#REF!="Mayor"),CONCATENATE("R10C",'Mapa final'!#REF!),"")</f>
        <v>#REF!</v>
      </c>
      <c r="AF55" s="28" t="e">
        <f>IF(AND('Mapa final'!#REF!="Muy Baja",'Mapa final'!#REF!="Mayor"),CONCATENATE("R10C",'Mapa final'!#REF!),"")</f>
        <v>#REF!</v>
      </c>
      <c r="AG55" s="29" t="e">
        <f>IF(AND('Mapa final'!#REF!="Muy Baja",'Mapa final'!#REF!="Mayor"),CONCATENATE("R10C",'Mapa final'!#REF!),"")</f>
        <v>#REF!</v>
      </c>
      <c r="AH55" s="30" t="e">
        <f>IF(AND('Mapa final'!#REF!="Muy Baja",'Mapa final'!#REF!="Catastrófico"),CONCATENATE("R10C",'Mapa final'!#REF!),"")</f>
        <v>#REF!</v>
      </c>
      <c r="AI55" s="31" t="e">
        <f>IF(AND('Mapa final'!#REF!="Muy Baja",'Mapa final'!#REF!="Catastrófico"),CONCATENATE("R10C",'Mapa final'!#REF!),"")</f>
        <v>#REF!</v>
      </c>
      <c r="AJ55" s="31" t="e">
        <f>IF(AND('Mapa final'!#REF!="Muy Baja",'Mapa final'!#REF!="Catastrófico"),CONCATENATE("R10C",'Mapa final'!#REF!),"")</f>
        <v>#REF!</v>
      </c>
      <c r="AK55" s="31" t="e">
        <f>IF(AND('Mapa final'!#REF!="Muy Baja",'Mapa final'!#REF!="Catastrófico"),CONCATENATE("R10C",'Mapa final'!#REF!),"")</f>
        <v>#REF!</v>
      </c>
      <c r="AL55" s="31" t="e">
        <f>IF(AND('Mapa final'!#REF!="Muy Baja",'Mapa final'!#REF!="Catastrófico"),CONCATENATE("R10C",'Mapa final'!#REF!),"")</f>
        <v>#REF!</v>
      </c>
      <c r="AM55" s="32" t="e">
        <f>IF(AND('Mapa final'!#REF!="Muy Baja",'Mapa final'!#REF!="Catastrófico"),CONCATENATE("R10C",'Mapa final'!#REF!),"")</f>
        <v>#REF!</v>
      </c>
    </row>
    <row r="56" spans="2:39" ht="15.75" customHeight="1" x14ac:dyDescent="0.25">
      <c r="B56" s="1"/>
      <c r="C56" s="1"/>
      <c r="D56" s="1"/>
      <c r="E56" s="1"/>
      <c r="F56" s="1"/>
      <c r="G56" s="1"/>
      <c r="H56" s="1"/>
      <c r="I56" s="1"/>
      <c r="J56" s="296" t="s">
        <v>104</v>
      </c>
      <c r="K56" s="280"/>
      <c r="L56" s="280"/>
      <c r="M56" s="280"/>
      <c r="N56" s="280"/>
      <c r="O56" s="262"/>
      <c r="P56" s="296" t="s">
        <v>105</v>
      </c>
      <c r="Q56" s="280"/>
      <c r="R56" s="280"/>
      <c r="S56" s="280"/>
      <c r="T56" s="280"/>
      <c r="U56" s="262"/>
      <c r="V56" s="296" t="s">
        <v>106</v>
      </c>
      <c r="W56" s="280"/>
      <c r="X56" s="280"/>
      <c r="Y56" s="280"/>
      <c r="Z56" s="280"/>
      <c r="AA56" s="262"/>
      <c r="AB56" s="296" t="s">
        <v>107</v>
      </c>
      <c r="AC56" s="280"/>
      <c r="AD56" s="280"/>
      <c r="AE56" s="280"/>
      <c r="AF56" s="280"/>
      <c r="AG56" s="262"/>
      <c r="AH56" s="296" t="s">
        <v>108</v>
      </c>
      <c r="AI56" s="280"/>
      <c r="AJ56" s="280"/>
      <c r="AK56" s="280"/>
      <c r="AL56" s="280"/>
      <c r="AM56" s="262"/>
    </row>
    <row r="57" spans="2:39" ht="15.75" customHeight="1" x14ac:dyDescent="0.25">
      <c r="B57" s="1"/>
      <c r="C57" s="1"/>
      <c r="D57" s="1"/>
      <c r="E57" s="1"/>
      <c r="F57" s="1"/>
      <c r="G57" s="1"/>
      <c r="H57" s="1"/>
      <c r="I57" s="1"/>
      <c r="J57" s="223"/>
      <c r="K57" s="211"/>
      <c r="L57" s="211"/>
      <c r="M57" s="211"/>
      <c r="N57" s="211"/>
      <c r="O57" s="212"/>
      <c r="P57" s="223"/>
      <c r="Q57" s="211"/>
      <c r="R57" s="211"/>
      <c r="S57" s="211"/>
      <c r="T57" s="211"/>
      <c r="U57" s="212"/>
      <c r="V57" s="223"/>
      <c r="W57" s="211"/>
      <c r="X57" s="211"/>
      <c r="Y57" s="211"/>
      <c r="Z57" s="211"/>
      <c r="AA57" s="212"/>
      <c r="AB57" s="223"/>
      <c r="AC57" s="211"/>
      <c r="AD57" s="211"/>
      <c r="AE57" s="211"/>
      <c r="AF57" s="211"/>
      <c r="AG57" s="212"/>
      <c r="AH57" s="223"/>
      <c r="AI57" s="211"/>
      <c r="AJ57" s="211"/>
      <c r="AK57" s="211"/>
      <c r="AL57" s="211"/>
      <c r="AM57" s="212"/>
    </row>
    <row r="58" spans="2:39" ht="15.75" customHeight="1" x14ac:dyDescent="0.25">
      <c r="B58" s="1"/>
      <c r="C58" s="1"/>
      <c r="D58" s="1"/>
      <c r="E58" s="1"/>
      <c r="F58" s="1"/>
      <c r="G58" s="1"/>
      <c r="H58" s="1"/>
      <c r="I58" s="1"/>
      <c r="J58" s="223"/>
      <c r="K58" s="211"/>
      <c r="L58" s="211"/>
      <c r="M58" s="211"/>
      <c r="N58" s="211"/>
      <c r="O58" s="212"/>
      <c r="P58" s="223"/>
      <c r="Q58" s="211"/>
      <c r="R58" s="211"/>
      <c r="S58" s="211"/>
      <c r="T58" s="211"/>
      <c r="U58" s="212"/>
      <c r="V58" s="223"/>
      <c r="W58" s="211"/>
      <c r="X58" s="211"/>
      <c r="Y58" s="211"/>
      <c r="Z58" s="211"/>
      <c r="AA58" s="212"/>
      <c r="AB58" s="223"/>
      <c r="AC58" s="211"/>
      <c r="AD58" s="211"/>
      <c r="AE58" s="211"/>
      <c r="AF58" s="211"/>
      <c r="AG58" s="212"/>
      <c r="AH58" s="223"/>
      <c r="AI58" s="211"/>
      <c r="AJ58" s="211"/>
      <c r="AK58" s="211"/>
      <c r="AL58" s="211"/>
      <c r="AM58" s="212"/>
    </row>
    <row r="59" spans="2:39" ht="15.75" customHeight="1" x14ac:dyDescent="0.25">
      <c r="B59" s="1"/>
      <c r="C59" s="1"/>
      <c r="D59" s="1"/>
      <c r="E59" s="1"/>
      <c r="F59" s="1"/>
      <c r="G59" s="1"/>
      <c r="H59" s="1"/>
      <c r="I59" s="1"/>
      <c r="J59" s="223"/>
      <c r="K59" s="211"/>
      <c r="L59" s="211"/>
      <c r="M59" s="211"/>
      <c r="N59" s="211"/>
      <c r="O59" s="212"/>
      <c r="P59" s="223"/>
      <c r="Q59" s="211"/>
      <c r="R59" s="211"/>
      <c r="S59" s="211"/>
      <c r="T59" s="211"/>
      <c r="U59" s="212"/>
      <c r="V59" s="223"/>
      <c r="W59" s="211"/>
      <c r="X59" s="211"/>
      <c r="Y59" s="211"/>
      <c r="Z59" s="211"/>
      <c r="AA59" s="212"/>
      <c r="AB59" s="223"/>
      <c r="AC59" s="211"/>
      <c r="AD59" s="211"/>
      <c r="AE59" s="211"/>
      <c r="AF59" s="211"/>
      <c r="AG59" s="212"/>
      <c r="AH59" s="223"/>
      <c r="AI59" s="211"/>
      <c r="AJ59" s="211"/>
      <c r="AK59" s="211"/>
      <c r="AL59" s="211"/>
      <c r="AM59" s="212"/>
    </row>
    <row r="60" spans="2:39" ht="15.75" customHeight="1" x14ac:dyDescent="0.25">
      <c r="B60" s="1"/>
      <c r="C60" s="1"/>
      <c r="D60" s="1"/>
      <c r="E60" s="1"/>
      <c r="F60" s="1"/>
      <c r="G60" s="1"/>
      <c r="H60" s="1"/>
      <c r="I60" s="1"/>
      <c r="J60" s="223"/>
      <c r="K60" s="211"/>
      <c r="L60" s="211"/>
      <c r="M60" s="211"/>
      <c r="N60" s="211"/>
      <c r="O60" s="212"/>
      <c r="P60" s="223"/>
      <c r="Q60" s="211"/>
      <c r="R60" s="211"/>
      <c r="S60" s="211"/>
      <c r="T60" s="211"/>
      <c r="U60" s="212"/>
      <c r="V60" s="223"/>
      <c r="W60" s="211"/>
      <c r="X60" s="211"/>
      <c r="Y60" s="211"/>
      <c r="Z60" s="211"/>
      <c r="AA60" s="212"/>
      <c r="AB60" s="223"/>
      <c r="AC60" s="211"/>
      <c r="AD60" s="211"/>
      <c r="AE60" s="211"/>
      <c r="AF60" s="211"/>
      <c r="AG60" s="212"/>
      <c r="AH60" s="223"/>
      <c r="AI60" s="211"/>
      <c r="AJ60" s="211"/>
      <c r="AK60" s="211"/>
      <c r="AL60" s="211"/>
      <c r="AM60" s="212"/>
    </row>
    <row r="61" spans="2:39" ht="15.75" customHeight="1" x14ac:dyDescent="0.25">
      <c r="B61" s="1"/>
      <c r="C61" s="1"/>
      <c r="D61" s="1"/>
      <c r="E61" s="1"/>
      <c r="F61" s="1"/>
      <c r="G61" s="1"/>
      <c r="H61" s="1"/>
      <c r="I61" s="1"/>
      <c r="J61" s="257"/>
      <c r="K61" s="281"/>
      <c r="L61" s="281"/>
      <c r="M61" s="281"/>
      <c r="N61" s="281"/>
      <c r="O61" s="260"/>
      <c r="P61" s="257"/>
      <c r="Q61" s="281"/>
      <c r="R61" s="281"/>
      <c r="S61" s="281"/>
      <c r="T61" s="281"/>
      <c r="U61" s="260"/>
      <c r="V61" s="257"/>
      <c r="W61" s="281"/>
      <c r="X61" s="281"/>
      <c r="Y61" s="281"/>
      <c r="Z61" s="281"/>
      <c r="AA61" s="260"/>
      <c r="AB61" s="257"/>
      <c r="AC61" s="281"/>
      <c r="AD61" s="281"/>
      <c r="AE61" s="281"/>
      <c r="AF61" s="281"/>
      <c r="AG61" s="260"/>
      <c r="AH61" s="257"/>
      <c r="AI61" s="281"/>
      <c r="AJ61" s="281"/>
      <c r="AK61" s="281"/>
      <c r="AL61" s="281"/>
      <c r="AM61" s="260"/>
    </row>
  </sheetData>
  <mergeCells count="17">
    <mergeCell ref="B2:I4"/>
    <mergeCell ref="J2:AM4"/>
    <mergeCell ref="B6:D55"/>
    <mergeCell ref="E6:I15"/>
    <mergeCell ref="E16:I25"/>
    <mergeCell ref="E26:I35"/>
    <mergeCell ref="E36:I45"/>
    <mergeCell ref="J56:O61"/>
    <mergeCell ref="P56:U61"/>
    <mergeCell ref="V56:AA61"/>
    <mergeCell ref="AB56:AG61"/>
    <mergeCell ref="AH56:AM61"/>
    <mergeCell ref="AO16:AT25"/>
    <mergeCell ref="AO26:AT35"/>
    <mergeCell ref="AO6:AT15"/>
    <mergeCell ref="AO36:AT45"/>
    <mergeCell ref="E46:I5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D8"/>
  <sheetViews>
    <sheetView topLeftCell="A8" workbookViewId="0">
      <selection activeCell="C7" sqref="C7"/>
    </sheetView>
  </sheetViews>
  <sheetFormatPr baseColWidth="10" defaultColWidth="12.625" defaultRowHeight="15" customHeight="1" x14ac:dyDescent="0.2"/>
  <cols>
    <col min="1" max="1" width="9.375" customWidth="1"/>
    <col min="2" max="2" width="21.125" customWidth="1"/>
    <col min="3" max="3" width="61.375" customWidth="1"/>
    <col min="4" max="4" width="26.125" customWidth="1"/>
    <col min="5" max="26" width="9.375" customWidth="1"/>
  </cols>
  <sheetData>
    <row r="1" spans="2:4" ht="23.25" x14ac:dyDescent="0.2">
      <c r="B1" s="298" t="s">
        <v>110</v>
      </c>
      <c r="C1" s="211"/>
      <c r="D1" s="211"/>
    </row>
    <row r="2" spans="2:4" x14ac:dyDescent="0.25">
      <c r="B2" s="1"/>
      <c r="C2" s="1"/>
      <c r="D2" s="1"/>
    </row>
    <row r="3" spans="2:4" ht="25.5" x14ac:dyDescent="0.2">
      <c r="B3" s="52"/>
      <c r="C3" s="53" t="s">
        <v>111</v>
      </c>
      <c r="D3" s="53" t="s">
        <v>94</v>
      </c>
    </row>
    <row r="4" spans="2:4" ht="51" x14ac:dyDescent="0.2">
      <c r="B4" s="54" t="s">
        <v>112</v>
      </c>
      <c r="C4" s="55" t="s">
        <v>113</v>
      </c>
      <c r="D4" s="56">
        <v>0.2</v>
      </c>
    </row>
    <row r="5" spans="2:4" ht="51" x14ac:dyDescent="0.2">
      <c r="B5" s="57" t="s">
        <v>114</v>
      </c>
      <c r="C5" s="58" t="s">
        <v>115</v>
      </c>
      <c r="D5" s="59">
        <v>0.4</v>
      </c>
    </row>
    <row r="6" spans="2:4" ht="51" x14ac:dyDescent="0.2">
      <c r="B6" s="60" t="s">
        <v>116</v>
      </c>
      <c r="C6" s="58" t="s">
        <v>117</v>
      </c>
      <c r="D6" s="59">
        <v>0.6</v>
      </c>
    </row>
    <row r="7" spans="2:4" ht="76.5" x14ac:dyDescent="0.2">
      <c r="B7" s="61" t="s">
        <v>118</v>
      </c>
      <c r="C7" s="58" t="s">
        <v>119</v>
      </c>
      <c r="D7" s="59">
        <v>0.8</v>
      </c>
    </row>
    <row r="8" spans="2:4" ht="51" x14ac:dyDescent="0.2">
      <c r="B8" s="62" t="s">
        <v>120</v>
      </c>
      <c r="C8" s="58" t="s">
        <v>121</v>
      </c>
      <c r="D8" s="59">
        <v>1</v>
      </c>
    </row>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6923C"/>
  </sheetPr>
  <dimension ref="A1:H224"/>
  <sheetViews>
    <sheetView topLeftCell="C7" zoomScale="70" zoomScaleNormal="70" workbookViewId="0">
      <selection activeCell="C7" sqref="C7"/>
    </sheetView>
  </sheetViews>
  <sheetFormatPr baseColWidth="10" defaultColWidth="12.625" defaultRowHeight="15" customHeight="1" x14ac:dyDescent="0.2"/>
  <cols>
    <col min="1" max="1" width="9.375" customWidth="1"/>
    <col min="2" max="2" width="35.375" customWidth="1"/>
    <col min="3" max="3" width="65.5" customWidth="1"/>
    <col min="4" max="4" width="118.125" customWidth="1"/>
    <col min="5" max="5" width="126.625" customWidth="1"/>
    <col min="6" max="26" width="9.375" customWidth="1"/>
  </cols>
  <sheetData>
    <row r="1" spans="1:4" ht="33.75" x14ac:dyDescent="0.25">
      <c r="A1" s="1"/>
      <c r="B1" s="299" t="s">
        <v>122</v>
      </c>
      <c r="C1" s="211"/>
      <c r="D1" s="211"/>
    </row>
    <row r="2" spans="1:4" x14ac:dyDescent="0.25">
      <c r="A2" s="1"/>
      <c r="B2" s="1"/>
      <c r="C2" s="1"/>
      <c r="D2" s="1"/>
    </row>
    <row r="3" spans="1:4" ht="30" x14ac:dyDescent="0.25">
      <c r="A3" s="1"/>
      <c r="B3" s="63"/>
      <c r="C3" s="64" t="s">
        <v>123</v>
      </c>
      <c r="D3" s="64" t="s">
        <v>124</v>
      </c>
    </row>
    <row r="4" spans="1:4" ht="33.75" x14ac:dyDescent="0.25">
      <c r="A4" s="65" t="s">
        <v>125</v>
      </c>
      <c r="B4" s="66" t="s">
        <v>126</v>
      </c>
      <c r="C4" s="67" t="s">
        <v>127</v>
      </c>
      <c r="D4" s="68" t="s">
        <v>128</v>
      </c>
    </row>
    <row r="5" spans="1:4" ht="67.5" x14ac:dyDescent="0.25">
      <c r="A5" s="65" t="s">
        <v>129</v>
      </c>
      <c r="B5" s="69" t="s">
        <v>130</v>
      </c>
      <c r="C5" s="70" t="s">
        <v>131</v>
      </c>
      <c r="D5" s="71" t="s">
        <v>132</v>
      </c>
    </row>
    <row r="6" spans="1:4" ht="67.5" x14ac:dyDescent="0.25">
      <c r="A6" s="65" t="s">
        <v>100</v>
      </c>
      <c r="B6" s="72" t="s">
        <v>133</v>
      </c>
      <c r="C6" s="98" t="s">
        <v>134</v>
      </c>
      <c r="D6" s="99" t="s">
        <v>215</v>
      </c>
    </row>
    <row r="7" spans="1:4" ht="101.25" x14ac:dyDescent="0.25">
      <c r="A7" s="65" t="s">
        <v>136</v>
      </c>
      <c r="B7" s="73" t="s">
        <v>137</v>
      </c>
      <c r="C7" s="70" t="s">
        <v>138</v>
      </c>
      <c r="D7" s="71" t="s">
        <v>214</v>
      </c>
    </row>
    <row r="8" spans="1:4" ht="67.5" x14ac:dyDescent="0.25">
      <c r="A8" s="65" t="s">
        <v>140</v>
      </c>
      <c r="B8" s="74" t="s">
        <v>141</v>
      </c>
      <c r="C8" s="70" t="s">
        <v>142</v>
      </c>
      <c r="D8" s="71" t="s">
        <v>143</v>
      </c>
    </row>
    <row r="9" spans="1:4" ht="20.25" x14ac:dyDescent="0.25">
      <c r="A9" s="65"/>
      <c r="B9" s="65"/>
      <c r="C9" s="75"/>
      <c r="D9" s="75"/>
    </row>
    <row r="10" spans="1:4" ht="16.5" x14ac:dyDescent="0.25">
      <c r="A10" s="65"/>
      <c r="B10" s="76"/>
      <c r="C10" s="76"/>
      <c r="D10" s="76"/>
    </row>
    <row r="11" spans="1:4" x14ac:dyDescent="0.25">
      <c r="A11" s="65"/>
      <c r="B11" s="65" t="s">
        <v>144</v>
      </c>
      <c r="C11" s="65" t="s">
        <v>145</v>
      </c>
      <c r="D11" s="65" t="s">
        <v>146</v>
      </c>
    </row>
    <row r="12" spans="1:4" x14ac:dyDescent="0.25">
      <c r="A12" s="65"/>
      <c r="B12" s="65" t="s">
        <v>147</v>
      </c>
      <c r="C12" s="65" t="s">
        <v>148</v>
      </c>
      <c r="D12" s="65" t="s">
        <v>149</v>
      </c>
    </row>
    <row r="13" spans="1:4" x14ac:dyDescent="0.25">
      <c r="A13" s="65"/>
      <c r="B13" s="65"/>
      <c r="C13" s="65" t="s">
        <v>150</v>
      </c>
      <c r="D13" s="65" t="s">
        <v>151</v>
      </c>
    </row>
    <row r="14" spans="1:4" x14ac:dyDescent="0.25">
      <c r="A14" s="65"/>
      <c r="B14" s="65"/>
      <c r="C14" s="65" t="s">
        <v>152</v>
      </c>
      <c r="D14" s="65" t="s">
        <v>153</v>
      </c>
    </row>
    <row r="15" spans="1:4" x14ac:dyDescent="0.25">
      <c r="A15" s="65"/>
      <c r="B15" s="65"/>
      <c r="C15" s="65" t="s">
        <v>154</v>
      </c>
      <c r="D15" s="65" t="s">
        <v>155</v>
      </c>
    </row>
    <row r="209" spans="2:8" ht="15.75" customHeight="1" x14ac:dyDescent="0.25">
      <c r="B209" s="77" t="s">
        <v>156</v>
      </c>
      <c r="C209" s="77" t="s">
        <v>157</v>
      </c>
      <c r="D209" s="78" t="s">
        <v>156</v>
      </c>
      <c r="E209" s="78" t="s">
        <v>157</v>
      </c>
    </row>
    <row r="210" spans="2:8" ht="15.75" customHeight="1" x14ac:dyDescent="0.35">
      <c r="B210" s="79" t="s">
        <v>158</v>
      </c>
      <c r="C210" s="79" t="s">
        <v>159</v>
      </c>
      <c r="D210" s="80" t="s">
        <v>158</v>
      </c>
      <c r="F210" s="80" t="str">
        <f t="shared" ref="F210:F221" si="0">IF(NOT(ISBLANK(D210)),D210,IF(NOT(ISBLANK(E210)),"     "&amp;E210,FALSE))</f>
        <v>Afectación Económica o presupuestal</v>
      </c>
      <c r="G210" s="80" t="s">
        <v>158</v>
      </c>
      <c r="H210" s="80" t="str">
        <f ca="1">IF(NOT(ISERROR(MATCH(G210,ANCHORARRAY(B221),0))),F223&amp;"Por favor no seleccionar los criterios de impacto",G210)</f>
        <v>Afectación Económica o presupuestal</v>
      </c>
    </row>
    <row r="211" spans="2:8" ht="15.75" customHeight="1" x14ac:dyDescent="0.35">
      <c r="B211" s="79" t="s">
        <v>158</v>
      </c>
      <c r="C211" s="79" t="s">
        <v>131</v>
      </c>
      <c r="E211" s="80" t="s">
        <v>159</v>
      </c>
      <c r="F211" s="80" t="str">
        <f t="shared" si="0"/>
        <v xml:space="preserve">     Afectación menor a 10 SMLMV .</v>
      </c>
    </row>
    <row r="212" spans="2:8" ht="15.75" customHeight="1" x14ac:dyDescent="0.35">
      <c r="B212" s="79" t="s">
        <v>158</v>
      </c>
      <c r="C212" s="79" t="s">
        <v>134</v>
      </c>
      <c r="E212" s="80" t="s">
        <v>131</v>
      </c>
      <c r="F212" s="80" t="str">
        <f t="shared" si="0"/>
        <v xml:space="preserve">     Entre 10 y 50 SMLMV </v>
      </c>
    </row>
    <row r="213" spans="2:8" ht="15.75" customHeight="1" x14ac:dyDescent="0.35">
      <c r="B213" s="79" t="s">
        <v>158</v>
      </c>
      <c r="C213" s="79" t="s">
        <v>138</v>
      </c>
      <c r="E213" s="80" t="s">
        <v>134</v>
      </c>
      <c r="F213" s="80" t="str">
        <f t="shared" si="0"/>
        <v xml:space="preserve">     Entre 50 y 100 SMLMV </v>
      </c>
    </row>
    <row r="214" spans="2:8" ht="15.75" customHeight="1" x14ac:dyDescent="0.35">
      <c r="B214" s="79" t="s">
        <v>158</v>
      </c>
      <c r="C214" s="79" t="s">
        <v>142</v>
      </c>
      <c r="E214" s="80" t="s">
        <v>138</v>
      </c>
      <c r="F214" s="80" t="str">
        <f t="shared" si="0"/>
        <v xml:space="preserve">     Entre 100 y 500 SMLMV </v>
      </c>
    </row>
    <row r="215" spans="2:8" ht="15.75" customHeight="1" x14ac:dyDescent="0.35">
      <c r="B215" s="79" t="s">
        <v>124</v>
      </c>
      <c r="C215" s="79" t="s">
        <v>128</v>
      </c>
      <c r="E215" s="80" t="s">
        <v>142</v>
      </c>
      <c r="F215" s="80" t="str">
        <f t="shared" si="0"/>
        <v xml:space="preserve">     Mayor a 500 SMLMV </v>
      </c>
    </row>
    <row r="216" spans="2:8" ht="15.75" customHeight="1" x14ac:dyDescent="0.35">
      <c r="B216" s="79" t="s">
        <v>124</v>
      </c>
      <c r="C216" s="79" t="s">
        <v>132</v>
      </c>
      <c r="D216" s="80" t="s">
        <v>124</v>
      </c>
      <c r="F216" s="80" t="str">
        <f t="shared" si="0"/>
        <v>Pérdida Reputacional</v>
      </c>
    </row>
    <row r="217" spans="2:8" ht="15.75" customHeight="1" x14ac:dyDescent="0.35">
      <c r="B217" s="79" t="s">
        <v>124</v>
      </c>
      <c r="C217" s="79" t="s">
        <v>135</v>
      </c>
      <c r="E217" s="80" t="s">
        <v>128</v>
      </c>
      <c r="F217" s="80" t="str">
        <f t="shared" si="0"/>
        <v xml:space="preserve">     El riesgo afecta la imagen de alguna área de la organización</v>
      </c>
    </row>
    <row r="218" spans="2:8" ht="15.75" customHeight="1" x14ac:dyDescent="0.35">
      <c r="B218" s="79" t="s">
        <v>124</v>
      </c>
      <c r="C218" s="79" t="s">
        <v>139</v>
      </c>
      <c r="E218" s="80" t="s">
        <v>132</v>
      </c>
      <c r="F218" s="80" t="str">
        <f t="shared" si="0"/>
        <v xml:space="preserve">     El riesgo afecta la imagen de la entidad internamente, de conocimiento general, nivel interno, de junta dircetiva y accionistas y/o de provedores</v>
      </c>
    </row>
    <row r="219" spans="2:8" ht="15.75" customHeight="1" x14ac:dyDescent="0.35">
      <c r="B219" s="79" t="s">
        <v>124</v>
      </c>
      <c r="C219" s="79" t="s">
        <v>143</v>
      </c>
      <c r="E219" s="80" t="s">
        <v>135</v>
      </c>
      <c r="F219" s="80" t="str">
        <f t="shared" si="0"/>
        <v xml:space="preserve">     El riesgo afecta la imagen de la entidad con algunos usuarios de relevancia frente al logro de los objetivos</v>
      </c>
    </row>
    <row r="220" spans="2:8" ht="15.75" customHeight="1" x14ac:dyDescent="0.25">
      <c r="B220" s="81"/>
      <c r="C220" s="81"/>
      <c r="E220" s="80" t="s">
        <v>139</v>
      </c>
      <c r="F220" s="80" t="str">
        <f t="shared" si="0"/>
        <v xml:space="preserve">     El riesgo afecta la imagen de de la entidad con efecto publicitario sostenido a nivel de sector administrativo, nivel departamental o municipal</v>
      </c>
    </row>
    <row r="221" spans="2:8" ht="15.75" customHeight="1" x14ac:dyDescent="0.25">
      <c r="B221" s="81" t="str">
        <f ca="1">IFERROR(__xludf.DUMMYFUNCTION("ARRAY_CONSTRAIN(ARRAYFORMULA(UNIQUE('Tabla Impacto'!$B$209:$B$219)), 3, 1)"),"Criterios")</f>
        <v>Criterios</v>
      </c>
      <c r="C221" s="81"/>
      <c r="E221" s="80" t="s">
        <v>143</v>
      </c>
      <c r="F221" s="80" t="str">
        <f t="shared" si="0"/>
        <v xml:space="preserve">     El riesgo afecta la imagen de la entidad a nivel nacional, con efecto publicitarios sostenible a nivel país</v>
      </c>
    </row>
    <row r="222" spans="2:8" ht="15.75" customHeight="1" x14ac:dyDescent="0.25">
      <c r="B222" s="81" t="str">
        <f ca="1">IFERROR(__xludf.DUMMYFUNCTION("""COMPUTED_VALUE"""),"Afectación Económica o presupuestal")</f>
        <v>Afectación Económica o presupuestal</v>
      </c>
      <c r="C222" s="81"/>
    </row>
    <row r="223" spans="2:8" ht="15.75" customHeight="1" x14ac:dyDescent="0.25">
      <c r="B223" s="81" t="str">
        <f ca="1">IFERROR(__xludf.DUMMYFUNCTION("""COMPUTED_VALUE"""),"Pérdida Reputacional")</f>
        <v>Pérdida Reputacional</v>
      </c>
      <c r="C223" s="81"/>
      <c r="F223" s="82" t="s">
        <v>160</v>
      </c>
    </row>
    <row r="224" spans="2:8" ht="15.75" customHeight="1" x14ac:dyDescent="0.25">
      <c r="B224" s="78"/>
      <c r="C224" s="78"/>
      <c r="F224" s="82" t="s">
        <v>161</v>
      </c>
    </row>
  </sheetData>
  <mergeCells count="1">
    <mergeCell ref="B1:D1"/>
  </mergeCells>
  <dataValidations count="1">
    <dataValidation type="list" allowBlank="1" showErrorMessage="1" sqref="G210" xr:uid="{00000000-0002-0000-0500-00000000000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F497A"/>
  </sheetPr>
  <dimension ref="B1:F15"/>
  <sheetViews>
    <sheetView workbookViewId="0">
      <selection activeCell="E6" sqref="E6"/>
    </sheetView>
  </sheetViews>
  <sheetFormatPr baseColWidth="10" defaultColWidth="12.625" defaultRowHeight="15" customHeight="1" x14ac:dyDescent="0.2"/>
  <cols>
    <col min="1" max="2" width="12.5" customWidth="1"/>
    <col min="3" max="3" width="14.875" customWidth="1"/>
    <col min="4" max="4" width="12.5" customWidth="1"/>
    <col min="5" max="5" width="40.25" customWidth="1"/>
    <col min="6" max="26" width="12.5" customWidth="1"/>
  </cols>
  <sheetData>
    <row r="1" spans="2:6" ht="24" customHeight="1" x14ac:dyDescent="0.2">
      <c r="B1" s="305" t="s">
        <v>162</v>
      </c>
      <c r="C1" s="306"/>
      <c r="D1" s="306"/>
      <c r="E1" s="306"/>
      <c r="F1" s="307"/>
    </row>
    <row r="2" spans="2:6" ht="12.75" customHeight="1" x14ac:dyDescent="0.25">
      <c r="B2" s="83"/>
      <c r="C2" s="83"/>
      <c r="D2" s="83"/>
      <c r="E2" s="83"/>
      <c r="F2" s="83"/>
    </row>
    <row r="3" spans="2:6" ht="12.75" customHeight="1" x14ac:dyDescent="0.2">
      <c r="B3" s="308" t="s">
        <v>163</v>
      </c>
      <c r="C3" s="306"/>
      <c r="D3" s="309"/>
      <c r="E3" s="84" t="s">
        <v>164</v>
      </c>
      <c r="F3" s="85" t="s">
        <v>165</v>
      </c>
    </row>
    <row r="4" spans="2:6" ht="12.75" customHeight="1" x14ac:dyDescent="0.2">
      <c r="B4" s="310" t="s">
        <v>166</v>
      </c>
      <c r="C4" s="313" t="s">
        <v>86</v>
      </c>
      <c r="D4" s="86" t="s">
        <v>167</v>
      </c>
      <c r="E4" s="87" t="s">
        <v>168</v>
      </c>
      <c r="F4" s="88">
        <v>0.25</v>
      </c>
    </row>
    <row r="5" spans="2:6" ht="12.75" customHeight="1" x14ac:dyDescent="0.2">
      <c r="B5" s="311"/>
      <c r="C5" s="314"/>
      <c r="D5" s="89" t="s">
        <v>169</v>
      </c>
      <c r="E5" s="90" t="s">
        <v>170</v>
      </c>
      <c r="F5" s="91">
        <v>0.15</v>
      </c>
    </row>
    <row r="6" spans="2:6" ht="12.75" customHeight="1" x14ac:dyDescent="0.2">
      <c r="B6" s="311"/>
      <c r="C6" s="303"/>
      <c r="D6" s="89" t="s">
        <v>171</v>
      </c>
      <c r="E6" s="90" t="s">
        <v>172</v>
      </c>
      <c r="F6" s="91">
        <v>0.1</v>
      </c>
    </row>
    <row r="7" spans="2:6" ht="12.75" customHeight="1" x14ac:dyDescent="0.2">
      <c r="B7" s="311"/>
      <c r="C7" s="302" t="s">
        <v>87</v>
      </c>
      <c r="D7" s="89" t="s">
        <v>173</v>
      </c>
      <c r="E7" s="90" t="s">
        <v>174</v>
      </c>
      <c r="F7" s="91">
        <v>0.25</v>
      </c>
    </row>
    <row r="8" spans="2:6" ht="12.75" customHeight="1" x14ac:dyDescent="0.2">
      <c r="B8" s="312"/>
      <c r="C8" s="303"/>
      <c r="D8" s="89" t="s">
        <v>175</v>
      </c>
      <c r="E8" s="90" t="s">
        <v>176</v>
      </c>
      <c r="F8" s="91">
        <v>0.15</v>
      </c>
    </row>
    <row r="9" spans="2:6" ht="12.75" customHeight="1" x14ac:dyDescent="0.2">
      <c r="B9" s="315" t="s">
        <v>177</v>
      </c>
      <c r="C9" s="302" t="s">
        <v>89</v>
      </c>
      <c r="D9" s="89" t="s">
        <v>178</v>
      </c>
      <c r="E9" s="90" t="s">
        <v>179</v>
      </c>
      <c r="F9" s="92" t="s">
        <v>180</v>
      </c>
    </row>
    <row r="10" spans="2:6" ht="12.75" customHeight="1" x14ac:dyDescent="0.2">
      <c r="B10" s="311"/>
      <c r="C10" s="303"/>
      <c r="D10" s="89" t="s">
        <v>181</v>
      </c>
      <c r="E10" s="90" t="s">
        <v>182</v>
      </c>
      <c r="F10" s="92" t="s">
        <v>180</v>
      </c>
    </row>
    <row r="11" spans="2:6" ht="12.75" customHeight="1" x14ac:dyDescent="0.2">
      <c r="B11" s="311"/>
      <c r="C11" s="302" t="s">
        <v>90</v>
      </c>
      <c r="D11" s="89" t="s">
        <v>183</v>
      </c>
      <c r="E11" s="90" t="s">
        <v>184</v>
      </c>
      <c r="F11" s="92" t="s">
        <v>180</v>
      </c>
    </row>
    <row r="12" spans="2:6" ht="12.75" customHeight="1" x14ac:dyDescent="0.2">
      <c r="B12" s="311"/>
      <c r="C12" s="303"/>
      <c r="D12" s="89" t="s">
        <v>185</v>
      </c>
      <c r="E12" s="90" t="s">
        <v>186</v>
      </c>
      <c r="F12" s="92" t="s">
        <v>180</v>
      </c>
    </row>
    <row r="13" spans="2:6" ht="12.75" customHeight="1" x14ac:dyDescent="0.2">
      <c r="B13" s="311"/>
      <c r="C13" s="302" t="s">
        <v>91</v>
      </c>
      <c r="D13" s="89" t="s">
        <v>187</v>
      </c>
      <c r="E13" s="90" t="s">
        <v>188</v>
      </c>
      <c r="F13" s="92" t="s">
        <v>180</v>
      </c>
    </row>
    <row r="14" spans="2:6" ht="12.75" customHeight="1" x14ac:dyDescent="0.2">
      <c r="B14" s="316"/>
      <c r="C14" s="304"/>
      <c r="D14" s="93" t="s">
        <v>189</v>
      </c>
      <c r="E14" s="94" t="s">
        <v>190</v>
      </c>
      <c r="F14" s="95" t="s">
        <v>180</v>
      </c>
    </row>
    <row r="15" spans="2:6" ht="49.5" customHeight="1" x14ac:dyDescent="0.2">
      <c r="B15" s="300" t="s">
        <v>191</v>
      </c>
      <c r="C15" s="239"/>
      <c r="D15" s="239"/>
      <c r="E15" s="239"/>
      <c r="F15" s="301"/>
    </row>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15"/>
  <sheetViews>
    <sheetView workbookViewId="0">
      <selection activeCell="F19" sqref="F19"/>
    </sheetView>
  </sheetViews>
  <sheetFormatPr baseColWidth="10" defaultColWidth="11" defaultRowHeight="14.25" x14ac:dyDescent="0.2"/>
  <sheetData>
    <row r="2" spans="2:12" ht="15.75" x14ac:dyDescent="0.3">
      <c r="B2" s="100"/>
      <c r="C2" s="340" t="s">
        <v>226</v>
      </c>
      <c r="D2" s="340"/>
      <c r="E2" s="340"/>
      <c r="F2" s="340"/>
      <c r="G2" s="340"/>
      <c r="H2" s="340"/>
      <c r="I2" s="340"/>
      <c r="J2" s="340"/>
      <c r="K2" s="340"/>
      <c r="L2" s="340"/>
    </row>
    <row r="3" spans="2:12" ht="16.5" thickBot="1" x14ac:dyDescent="0.35">
      <c r="B3" s="100"/>
      <c r="C3" s="101"/>
      <c r="G3" s="100"/>
      <c r="H3" s="100"/>
      <c r="I3" s="100"/>
      <c r="J3" s="100"/>
      <c r="K3" s="100"/>
      <c r="L3" s="100"/>
    </row>
    <row r="4" spans="2:12" x14ac:dyDescent="0.2">
      <c r="B4" s="341" t="s">
        <v>227</v>
      </c>
      <c r="C4" s="342"/>
      <c r="D4" s="342" t="s">
        <v>228</v>
      </c>
      <c r="E4" s="342"/>
      <c r="F4" s="342"/>
      <c r="G4" s="342"/>
      <c r="H4" s="342" t="s">
        <v>229</v>
      </c>
      <c r="I4" s="342"/>
      <c r="J4" s="342"/>
      <c r="K4" s="342" t="s">
        <v>230</v>
      </c>
      <c r="L4" s="343"/>
    </row>
    <row r="5" spans="2:12" ht="17.25" thickBot="1" x14ac:dyDescent="0.35">
      <c r="B5" s="335"/>
      <c r="C5" s="336"/>
      <c r="D5" s="337"/>
      <c r="E5" s="337"/>
      <c r="F5" s="337"/>
      <c r="G5" s="337"/>
      <c r="H5" s="338"/>
      <c r="I5" s="338"/>
      <c r="J5" s="338"/>
      <c r="K5" s="338"/>
      <c r="L5" s="339"/>
    </row>
    <row r="6" spans="2:12" ht="16.5" x14ac:dyDescent="0.3">
      <c r="B6" s="100"/>
      <c r="C6" s="102"/>
      <c r="G6" s="100"/>
      <c r="H6" s="100"/>
      <c r="I6" s="100"/>
      <c r="J6" s="100"/>
      <c r="K6" s="100"/>
      <c r="L6" s="100"/>
    </row>
    <row r="7" spans="2:12" ht="17.25" thickBot="1" x14ac:dyDescent="0.35">
      <c r="B7" s="100"/>
      <c r="C7" s="102"/>
      <c r="G7" s="100"/>
      <c r="H7" s="100"/>
      <c r="I7" s="100"/>
      <c r="J7" s="100"/>
      <c r="K7" s="100"/>
      <c r="L7" s="100"/>
    </row>
    <row r="8" spans="2:12" x14ac:dyDescent="0.2">
      <c r="B8" s="332" t="s">
        <v>231</v>
      </c>
      <c r="C8" s="333"/>
      <c r="D8" s="333"/>
      <c r="E8" s="334"/>
      <c r="F8" s="332" t="s">
        <v>232</v>
      </c>
      <c r="G8" s="333"/>
      <c r="H8" s="333"/>
      <c r="I8" s="334"/>
      <c r="J8" s="332" t="s">
        <v>233</v>
      </c>
      <c r="K8" s="333"/>
      <c r="L8" s="334"/>
    </row>
    <row r="9" spans="2:12" ht="15.75" x14ac:dyDescent="0.3">
      <c r="B9" s="326"/>
      <c r="C9" s="327"/>
      <c r="D9" s="327"/>
      <c r="E9" s="328"/>
      <c r="F9" s="329"/>
      <c r="G9" s="330"/>
      <c r="H9" s="330"/>
      <c r="I9" s="331"/>
      <c r="J9" s="329"/>
      <c r="K9" s="330"/>
      <c r="L9" s="331"/>
    </row>
    <row r="10" spans="2:12" ht="15.75" x14ac:dyDescent="0.3">
      <c r="B10" s="326"/>
      <c r="C10" s="327"/>
      <c r="D10" s="327"/>
      <c r="E10" s="328"/>
      <c r="F10" s="329"/>
      <c r="G10" s="330"/>
      <c r="H10" s="330"/>
      <c r="I10" s="331"/>
      <c r="J10" s="329"/>
      <c r="K10" s="330"/>
      <c r="L10" s="331"/>
    </row>
    <row r="11" spans="2:12" ht="15.75" x14ac:dyDescent="0.3">
      <c r="B11" s="326"/>
      <c r="C11" s="327"/>
      <c r="D11" s="327"/>
      <c r="E11" s="328"/>
      <c r="F11" s="329"/>
      <c r="G11" s="330"/>
      <c r="H11" s="330"/>
      <c r="I11" s="331"/>
      <c r="J11" s="329"/>
      <c r="K11" s="330"/>
      <c r="L11" s="331"/>
    </row>
    <row r="12" spans="2:12" ht="15.75" x14ac:dyDescent="0.3">
      <c r="B12" s="326"/>
      <c r="C12" s="327"/>
      <c r="D12" s="327"/>
      <c r="E12" s="328"/>
      <c r="F12" s="329"/>
      <c r="G12" s="330"/>
      <c r="H12" s="330"/>
      <c r="I12" s="331"/>
      <c r="J12" s="329"/>
      <c r="K12" s="330"/>
      <c r="L12" s="331"/>
    </row>
    <row r="13" spans="2:12" x14ac:dyDescent="0.2">
      <c r="B13" s="317" t="s">
        <v>234</v>
      </c>
      <c r="C13" s="318"/>
      <c r="D13" s="318"/>
      <c r="E13" s="319"/>
      <c r="F13" s="317" t="s">
        <v>235</v>
      </c>
      <c r="G13" s="318"/>
      <c r="H13" s="318"/>
      <c r="I13" s="319"/>
      <c r="J13" s="317" t="s">
        <v>236</v>
      </c>
      <c r="K13" s="318"/>
      <c r="L13" s="319"/>
    </row>
    <row r="14" spans="2:12" x14ac:dyDescent="0.2">
      <c r="B14" s="317" t="s">
        <v>237</v>
      </c>
      <c r="C14" s="318"/>
      <c r="D14" s="318"/>
      <c r="E14" s="319"/>
      <c r="F14" s="317" t="s">
        <v>238</v>
      </c>
      <c r="G14" s="318"/>
      <c r="H14" s="318"/>
      <c r="I14" s="319"/>
      <c r="J14" s="317" t="s">
        <v>239</v>
      </c>
      <c r="K14" s="318"/>
      <c r="L14" s="319"/>
    </row>
    <row r="15" spans="2:12" ht="16.5" thickBot="1" x14ac:dyDescent="0.35">
      <c r="B15" s="320"/>
      <c r="C15" s="321"/>
      <c r="D15" s="321"/>
      <c r="E15" s="322"/>
      <c r="F15" s="323"/>
      <c r="G15" s="324"/>
      <c r="H15" s="324"/>
      <c r="I15" s="325"/>
      <c r="J15" s="320"/>
      <c r="K15" s="321"/>
      <c r="L15" s="322"/>
    </row>
  </sheetData>
  <mergeCells count="33">
    <mergeCell ref="B5:C5"/>
    <mergeCell ref="D5:G5"/>
    <mergeCell ref="H5:J5"/>
    <mergeCell ref="K5:L5"/>
    <mergeCell ref="C2:L2"/>
    <mergeCell ref="B4:C4"/>
    <mergeCell ref="D4:G4"/>
    <mergeCell ref="H4:J4"/>
    <mergeCell ref="K4:L4"/>
    <mergeCell ref="B8:E8"/>
    <mergeCell ref="F8:I8"/>
    <mergeCell ref="J8:L8"/>
    <mergeCell ref="B9:E9"/>
    <mergeCell ref="F9:I9"/>
    <mergeCell ref="J9:L9"/>
    <mergeCell ref="B10:E10"/>
    <mergeCell ref="F10:I10"/>
    <mergeCell ref="J10:L10"/>
    <mergeCell ref="B11:E11"/>
    <mergeCell ref="F11:I11"/>
    <mergeCell ref="J11:L11"/>
    <mergeCell ref="B12:E12"/>
    <mergeCell ref="F12:I12"/>
    <mergeCell ref="J12:L12"/>
    <mergeCell ref="B13:E13"/>
    <mergeCell ref="F13:I13"/>
    <mergeCell ref="J13:L13"/>
    <mergeCell ref="B14:E14"/>
    <mergeCell ref="F14:I14"/>
    <mergeCell ref="J14:L14"/>
    <mergeCell ref="B15:E15"/>
    <mergeCell ref="F15:I15"/>
    <mergeCell ref="J15:L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heetViews>
  <sheetFormatPr baseColWidth="10" defaultColWidth="12.625" defaultRowHeight="15" customHeight="1" x14ac:dyDescent="0.2"/>
  <cols>
    <col min="1" max="26" width="9.375" customWidth="1"/>
  </cols>
  <sheetData>
    <row r="2" spans="2:5" ht="15" customHeight="1" x14ac:dyDescent="0.25">
      <c r="B2" s="80" t="s">
        <v>192</v>
      </c>
      <c r="E2" s="80" t="s">
        <v>193</v>
      </c>
    </row>
    <row r="3" spans="2:5" ht="15" customHeight="1" x14ac:dyDescent="0.25">
      <c r="B3" s="80" t="s">
        <v>194</v>
      </c>
      <c r="E3" s="80" t="s">
        <v>195</v>
      </c>
    </row>
    <row r="4" spans="2:5" ht="15" customHeight="1" x14ac:dyDescent="0.25">
      <c r="B4" s="80" t="s">
        <v>196</v>
      </c>
      <c r="E4" s="80" t="s">
        <v>197</v>
      </c>
    </row>
    <row r="5" spans="2:5" ht="15" customHeight="1" x14ac:dyDescent="0.25">
      <c r="B5" s="80" t="s">
        <v>198</v>
      </c>
    </row>
    <row r="8" spans="2:5" ht="15" customHeight="1" x14ac:dyDescent="0.25">
      <c r="B8" s="80" t="s">
        <v>199</v>
      </c>
    </row>
    <row r="9" spans="2:5" ht="15" customHeight="1" x14ac:dyDescent="0.25">
      <c r="B9" s="80" t="s">
        <v>200</v>
      </c>
    </row>
    <row r="10" spans="2:5" ht="15" customHeight="1" x14ac:dyDescent="0.25">
      <c r="B10" s="80" t="s">
        <v>201</v>
      </c>
    </row>
    <row r="13" spans="2:5" ht="15" customHeight="1" x14ac:dyDescent="0.25">
      <c r="B13" s="80" t="s">
        <v>202</v>
      </c>
    </row>
    <row r="14" spans="2:5" ht="15" customHeight="1" x14ac:dyDescent="0.25">
      <c r="B14" s="80" t="s">
        <v>203</v>
      </c>
    </row>
    <row r="15" spans="2:5" ht="15" customHeight="1" x14ac:dyDescent="0.25">
      <c r="B15" s="80" t="s">
        <v>204</v>
      </c>
    </row>
    <row r="16" spans="2:5" ht="15" customHeight="1" x14ac:dyDescent="0.25">
      <c r="B16" s="80" t="s">
        <v>205</v>
      </c>
    </row>
    <row r="17" spans="2:2" ht="15" customHeight="1" x14ac:dyDescent="0.25">
      <c r="B17" s="80" t="s">
        <v>206</v>
      </c>
    </row>
    <row r="18" spans="2:2" ht="15" customHeight="1" x14ac:dyDescent="0.25">
      <c r="B18" s="80" t="s">
        <v>207</v>
      </c>
    </row>
    <row r="19" spans="2:2" ht="15" customHeight="1" x14ac:dyDescent="0.25">
      <c r="B19" s="80" t="s">
        <v>208</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final</vt:lpstr>
      <vt:lpstr>Intructivo</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Juridica Alcaldia</cp:lastModifiedBy>
  <cp:lastPrinted>2023-11-30T22:01:40Z</cp:lastPrinted>
  <dcterms:created xsi:type="dcterms:W3CDTF">2020-03-24T23:12:47Z</dcterms:created>
  <dcterms:modified xsi:type="dcterms:W3CDTF">2025-06-27T21:58:35Z</dcterms:modified>
</cp:coreProperties>
</file>